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po/O0QncNPG5O7e0ZxEcesYc1T07H2rhhKIKBGCtJ4r0Xdee0txvKcYgc8wT1cqcmJ688mOt+rIdRV3h5pesA==" workbookSaltValue="jr9Xt2yMcEKu5aOEx5L8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20" i="2" s="1"/>
  <c r="K16" i="2"/>
  <c r="K13" i="2"/>
  <c r="L13" i="2" s="1"/>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N14" i="2" s="1"/>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8"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AL16" i="11" s="1"/>
  <c r="G17" i="2"/>
  <c r="G18" i="2"/>
  <c r="G19" i="2"/>
  <c r="E16" i="2"/>
  <c r="E17" i="2"/>
  <c r="E18" i="2"/>
  <c r="E19" i="2"/>
  <c r="C17" i="2"/>
  <c r="D17" i="2" s="1"/>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EL21" i="8"/>
  <c r="EQ21" i="8"/>
  <c r="EN21" i="8"/>
  <c r="K20" i="11"/>
  <c r="BA14" i="16"/>
  <c r="N10" i="11"/>
  <c r="N9" i="11"/>
  <c r="B19" i="6"/>
  <c r="ES21" i="8"/>
  <c r="G20" i="12"/>
  <c r="AQ19" i="11"/>
  <c r="AK21" i="8"/>
  <c r="EP21" i="8"/>
  <c r="ER21" i="13"/>
  <c r="AL14" i="16"/>
  <c r="EP21" i="19"/>
  <c r="BG10" i="11"/>
  <c r="BM17" i="11"/>
  <c r="V11" i="16"/>
  <c r="BH19" i="11"/>
  <c r="BF10" i="11"/>
  <c r="AZ19" i="11"/>
  <c r="S14" i="16"/>
  <c r="V12" i="21"/>
  <c r="P14" i="16"/>
  <c r="Z14" i="17"/>
  <c r="F18" i="17"/>
  <c r="AQ18" i="17" s="1"/>
  <c r="V18" i="16"/>
  <c r="M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S17" i="17"/>
  <c r="X16" i="16"/>
  <c r="X20" i="16" s="1"/>
  <c r="T14" i="20"/>
  <c r="T20" i="17"/>
  <c r="BF16" i="13"/>
  <c r="BG16" i="13"/>
  <c r="BB20" i="13"/>
  <c r="BE17" i="13"/>
  <c r="BE16" i="13"/>
  <c r="BF17" i="13"/>
  <c r="K22" i="20"/>
  <c r="Y22" i="20"/>
  <c r="AC22" i="20"/>
  <c r="AA22" i="20"/>
  <c r="U12" i="11"/>
  <c r="AQ22" i="21"/>
  <c r="U17" i="11"/>
  <c r="AQ22" i="20"/>
  <c r="W22" i="20"/>
  <c r="U10" i="11"/>
  <c r="W22" i="21"/>
  <c r="AF22" i="20"/>
  <c r="U18" i="11"/>
  <c r="AL22" i="20"/>
  <c r="AE22" i="20"/>
  <c r="AG22" i="20"/>
  <c r="L22" i="20"/>
  <c r="M22" i="20"/>
  <c r="N22" i="20"/>
  <c r="G14" i="14"/>
  <c r="AY20" i="8" l="1"/>
  <c r="AE21" i="8"/>
  <c r="R21" i="8"/>
  <c r="BA14" i="8"/>
  <c r="BG10" i="8"/>
  <c r="AY14" i="8"/>
  <c r="M20" i="2"/>
  <c r="N20" i="2"/>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X12" i="21"/>
  <c r="BL19" i="11"/>
  <c r="T9"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F11" i="11"/>
  <c r="BL9" i="11"/>
  <c r="BK13" i="11"/>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7"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AU22" i="16"/>
  <c r="AI22" i="16"/>
  <c r="AW22" i="21"/>
  <c r="AO22" i="17"/>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P22" i="11"/>
  <c r="BD22" i="16"/>
  <c r="AF22" i="16"/>
  <c r="BQ22" i="16"/>
  <c r="N22" i="17"/>
  <c r="L22" i="11"/>
  <c r="F22" i="11"/>
  <c r="Y22" i="16"/>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<sst xmlns="http://schemas.openxmlformats.org/spreadsheetml/2006/main" count="2229" uniqueCount="979">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</sst>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VGVK/RJip2vQLafjRXYgN7cVpuMNMUXCaYrL5+oYcWivoAi1Me6pkRQdnNbzC8KRmH6Vj4lgc09oCD5YQy3dLg==" saltValue="sA5YnFnc/+SYkVfUZCoO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105</v>
      </c>
      <c r="D10" s="230">
        <f>IF(ISNUMBER(Datos!I10),Datos!I10," - ")</f>
        <v>111</v>
      </c>
      <c r="E10" s="231">
        <f>IF(ISNUMBER(Datos!J10),Datos!J10," - ")</f>
        <v>36</v>
      </c>
      <c r="F10" s="231">
        <f>IF(ISNUMBER(Datos!K10),Datos!K10," - ")</f>
        <v>0</v>
      </c>
      <c r="G10" s="1193" t="str">
        <f>IF(Datos!E10&lt;&gt;"",Datos!E10,Datos!D10)</f>
        <v>37</v>
      </c>
      <c r="H10" s="232">
        <f>IF(ISNUMBER(Datos!L10),Datos!L10," - ")</f>
        <v>141</v>
      </c>
      <c r="I10" s="1203" t="str">
        <f>IF(ISNUMBER(Datos!AS10/Datos!BM10),Datos!AS10/Datos!BM10," - ")</f>
        <v xml:space="preserve"> - </v>
      </c>
      <c r="J10" s="1204">
        <f>IF(ISNUMBER(Datos!BY10/Datos!CN10),Datos!BY10/Datos!CN10," - ")</f>
        <v>0</v>
      </c>
      <c r="K10" s="235">
        <f t="shared" ref="K10:K13" si="1">IF(ISNUMBER((E10-F10)/C10),(E10-F10)/C10," - ")</f>
        <v>0.34285714285714286</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35.64586666666667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105</v>
      </c>
      <c r="D14" s="1210">
        <f>SUBTOTAL(9,D9:D13)</f>
        <v>111</v>
      </c>
      <c r="E14" s="1211">
        <f>SUBTOTAL(9,E9:E13)</f>
        <v>36</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2568</v>
      </c>
      <c r="D17" s="230">
        <f>IF(ISNUMBER(IF(D_I="SI",Datos!I17,Datos!I17+Datos!AC17)),IF(D_I="SI",Datos!I17,Datos!I17+Datos!AC17)," - ")</f>
        <v>2424</v>
      </c>
      <c r="E17" s="231">
        <f>IF(ISNUMBER(IF(D_I="SI",Datos!J17,Datos!J17+Datos!AD17)),IF(D_I="SI",Datos!J17,Datos!J17+Datos!AD17)," - ")</f>
        <v>1760</v>
      </c>
      <c r="F17" s="231">
        <f>IF(ISNUMBER(IF(D_I="SI",Datos!K17,Datos!K17+Datos!AE17)),IF(D_I="SI",Datos!K17,Datos!K17+Datos!AE17)," - ")</f>
        <v>1591</v>
      </c>
      <c r="G17" s="1193" t="str">
        <f>IF(Datos!E17&lt;&gt;"",Datos!E17,Datos!D17)</f>
        <v>04</v>
      </c>
      <c r="H17" s="232">
        <f>IF(ISNUMBER(IF(D_I="SI",Datos!L17,Datos!L17+Datos!AF17)),IF(D_I="SI",Datos!L17,Datos!L17+Datos!AF17)," - ")</f>
        <v>2737</v>
      </c>
      <c r="I17" s="1203" t="str">
        <f>IF(ISNUMBER(Datos!AS17/Datos!BM17),Datos!AS17/Datos!BM17," - ")</f>
        <v xml:space="preserve"> - </v>
      </c>
      <c r="J17" s="1204">
        <f>IF(ISNUMBER(Datos!BY17/Datos!CN17),Datos!BY17/Datos!CN17," - ")</f>
        <v>0</v>
      </c>
      <c r="K17" s="235">
        <f t="shared" si="3"/>
        <v>6.5809968847352018E-2</v>
      </c>
      <c r="L17" s="1205">
        <f>IF(ISNUMBER(NºAsuntos!I17/NºAsuntos!G17),(NºAsuntos!I17/NºAsuntos!G17)*11," - ")</f>
        <v>18.923318667504713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213</v>
      </c>
      <c r="D18" s="230">
        <f>IF(ISNUMBER(IF(D_I="SI",Datos!I18,Datos!I18+Datos!AC18)),IF(D_I="SI",Datos!I18,Datos!I18+Datos!AC18)," - ")</f>
        <v>213</v>
      </c>
      <c r="E18" s="231">
        <f>IF(ISNUMBER(IF(D_I="SI",Datos!J18,Datos!J18+Datos!AD18)),IF(D_I="SI",Datos!J18,Datos!J18+Datos!AD18)," - ")</f>
        <v>201</v>
      </c>
      <c r="F18" s="231">
        <f>IF(ISNUMBER(IF(D_I="SI",Datos!K18,Datos!K18+Datos!AE18)),IF(D_I="SI",Datos!K18,Datos!K18+Datos!AE18)," - ")</f>
        <v>85</v>
      </c>
      <c r="G18" s="1193" t="str">
        <f>IF(Datos!E18&lt;&gt;"",Datos!E18,Datos!D18)</f>
        <v>37</v>
      </c>
      <c r="H18" s="232">
        <f>IF(ISNUMBER(IF(D_I="SI",Datos!L18,Datos!L18+Datos!AF18)),IF(D_I="SI",Datos!L18,Datos!L18+Datos!AF18)," - ")</f>
        <v>329</v>
      </c>
      <c r="I18" s="1203" t="str">
        <f>IF(ISNUMBER(Datos!AS18/Datos!BM18),Datos!AS18/Datos!BM18," - ")</f>
        <v xml:space="preserve"> - </v>
      </c>
      <c r="J18" s="1204" t="str">
        <f>IF(ISNUMBER((Datos!BY18+Datos!BZ18)/Datos!CN18),(Datos!BY18+Datos!BZ18)/Datos!CN18," - ")</f>
        <v xml:space="preserve"> - </v>
      </c>
      <c r="K18" s="235">
        <f t="shared" si="3"/>
        <v>0.54460093896713613</v>
      </c>
      <c r="L18" s="1205">
        <f>IF(ISNUMBER(NºAsuntos!I18/NºAsuntos!G18),(NºAsuntos!I18/NºAsuntos!G18)*11," - ")</f>
        <v>42.576470588235296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2781</v>
      </c>
      <c r="D20" s="1210">
        <f>SUBTOTAL(9,D16:D19)</f>
        <v>2637</v>
      </c>
      <c r="E20" s="1211">
        <f>SUBTOTAL(9,E16:E19)</f>
        <v>1961</v>
      </c>
      <c r="F20" s="1211">
        <f>SUBTOTAL(9,F16:F19)</f>
        <v>1676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2886</v>
      </c>
      <c r="D21" s="1232">
        <f>SUBTOTAL(9,D9:D20)</f>
        <v>2748</v>
      </c>
      <c r="E21" s="1233">
        <f>SUBTOTAL(9,E9:E20)</f>
        <v>1997</v>
      </c>
      <c r="F21" s="1233">
        <f>SUBTOTAL(9,F9:F20)</f>
        <v>1676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QfaF8TdMLCvDp2413cGRG2vYQZV24QeTdI6+3mBmqozbrG39Jv/99OKGBeQ9oUYUxsq1//OxsOu6lDUreRS3g==" saltValue="1m9lWnsjLkEeFYObqiS0T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drkaVMKJQEkd2lvGmAWiikB3hW/xJW9BcJg4+ngnuAjQyf7URJF5hj0t65YBDsozJvRr6ZMO/EBlYW67y2oNw==" saltValue="BUSEb2D/RJbOMCY91osW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111</v>
      </c>
      <c r="J10" s="186">
        <v>36</v>
      </c>
      <c r="K10" s="186">
        <v>0</v>
      </c>
      <c r="L10" s="186">
        <v>141</v>
      </c>
      <c r="M10" s="186">
        <v>0</v>
      </c>
      <c r="N10" s="186">
        <v>0</v>
      </c>
      <c r="O10" s="186">
        <v>0</v>
      </c>
      <c r="P10" s="186">
        <v>9</v>
      </c>
      <c r="Q10" s="186">
        <v>0</v>
      </c>
      <c r="R10" s="186">
        <v>178</v>
      </c>
      <c r="S10" s="186">
        <v>92</v>
      </c>
      <c r="T10" s="186">
        <v>27</v>
      </c>
      <c r="U10" s="186">
        <v>26</v>
      </c>
      <c r="V10" s="186">
        <v>93</v>
      </c>
      <c r="W10" s="186">
        <v>11</v>
      </c>
      <c r="X10" s="193">
        <v>7</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92</v>
      </c>
      <c r="AZ10" s="131">
        <f t="shared" si="0"/>
        <v>27</v>
      </c>
      <c r="BA10" s="131">
        <f t="shared" si="0"/>
        <v>26</v>
      </c>
      <c r="BB10" s="131">
        <f t="shared" si="0"/>
        <v>93</v>
      </c>
      <c r="BC10" s="127">
        <f t="shared" si="0"/>
        <v>11</v>
      </c>
      <c r="BD10" s="128">
        <f>IF(ISNUMBER(BA10/AZ10),BA10/AZ10," - ")</f>
        <v>0.96296296296296291</v>
      </c>
      <c r="BE10" s="129">
        <f>IF(ISNUMBER(BB10/BA10),BB10/BA10, " - ")</f>
        <v>3.5769230769230771</v>
      </c>
      <c r="BF10" s="129">
        <f>IF(ISNUMBER(BC10/BA10),BC10/BA10, " - ")</f>
        <v>0.42307692307692307</v>
      </c>
      <c r="BG10" s="201">
        <f>IF(ISNUMBER((AY10+AZ10)/BA10),(AY10+AZ10)/BA10," - ")</f>
        <v>4.5769230769230766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6646</v>
      </c>
      <c r="J12" s="188">
        <v>1024</v>
      </c>
      <c r="K12" s="188">
        <v>1777</v>
      </c>
      <c r="L12" s="188">
        <v>5893</v>
      </c>
      <c r="M12" s="188">
        <v>301</v>
      </c>
      <c r="N12" s="188">
        <v>944</v>
      </c>
      <c r="O12" s="186">
        <v>781</v>
      </c>
      <c r="P12" s="188">
        <v>213</v>
      </c>
      <c r="Q12" s="188">
        <v>723</v>
      </c>
      <c r="R12" s="188">
        <v>7766</v>
      </c>
      <c r="S12" s="188">
        <v>6266</v>
      </c>
      <c r="T12" s="188">
        <v>2285</v>
      </c>
      <c r="U12" s="188">
        <v>1882</v>
      </c>
      <c r="V12" s="188">
        <v>6542</v>
      </c>
      <c r="W12" s="188">
        <v>301</v>
      </c>
      <c r="X12" s="194">
        <v>912</v>
      </c>
      <c r="Y12" s="196">
        <v>177</v>
      </c>
      <c r="Z12" s="186">
        <v>104</v>
      </c>
      <c r="AA12" s="186">
        <v>98</v>
      </c>
      <c r="AB12" s="186">
        <v>183</v>
      </c>
      <c r="AC12" s="188">
        <v>0</v>
      </c>
      <c r="AD12" s="188">
        <v>0</v>
      </c>
      <c r="AE12" s="188">
        <v>0</v>
      </c>
      <c r="AF12" s="194">
        <v>0</v>
      </c>
      <c r="AG12" s="207">
        <v>79</v>
      </c>
      <c r="AH12" s="188">
        <v>88</v>
      </c>
      <c r="AI12" s="188">
        <v>81</v>
      </c>
      <c r="AJ12" s="208">
        <v>86</v>
      </c>
      <c r="AK12" s="187">
        <v>0</v>
      </c>
      <c r="AL12" s="188">
        <v>0</v>
      </c>
      <c r="AM12" s="188">
        <v>0</v>
      </c>
      <c r="AN12" s="194">
        <v>0</v>
      </c>
      <c r="AO12" s="264">
        <v>8</v>
      </c>
      <c r="AP12" s="160">
        <v>8</v>
      </c>
      <c r="AQ12" s="160">
        <v>8</v>
      </c>
      <c r="AR12" s="159">
        <v>8</v>
      </c>
      <c r="AS12" s="350" t="s">
        <v>874</v>
      </c>
      <c r="AT12" s="208"/>
      <c r="AU12" s="207"/>
      <c r="AV12" s="208"/>
      <c r="AW12" s="207"/>
      <c r="AX12" s="208"/>
      <c r="AY12" s="128">
        <f t="shared" si="1"/>
        <v>6345</v>
      </c>
      <c r="AZ12" s="129">
        <f t="shared" si="1"/>
        <v>2373</v>
      </c>
      <c r="BA12" s="129">
        <f t="shared" si="1"/>
        <v>1963</v>
      </c>
      <c r="BB12" s="129">
        <f t="shared" si="1"/>
        <v>6628</v>
      </c>
      <c r="BC12" s="127">
        <f>IF(ISNUMBER(X12),X12," - ")</f>
        <v>912</v>
      </c>
      <c r="BD12" s="128">
        <f t="shared" si="2"/>
        <v>0.82722292456805735</v>
      </c>
      <c r="BE12" s="129">
        <f t="shared" si="3"/>
        <v>3.3764645950076413</v>
      </c>
      <c r="BF12" s="129">
        <f t="shared" si="4"/>
        <v>0.46459500764136524</v>
      </c>
      <c r="BG12" s="201">
        <f t="shared" si="5"/>
        <v>4.4411614875191034</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6757</v>
      </c>
      <c r="J14" s="189">
        <f t="shared" si="7"/>
        <v>1060</v>
      </c>
      <c r="K14" s="189">
        <f t="shared" si="7"/>
        <v>1777</v>
      </c>
      <c r="L14" s="189">
        <f t="shared" si="7"/>
        <v>6034</v>
      </c>
      <c r="M14" s="189">
        <f t="shared" si="7"/>
        <v>301</v>
      </c>
      <c r="N14" s="189">
        <f t="shared" si="7"/>
        <v>944</v>
      </c>
      <c r="O14" s="189">
        <f t="shared" si="7"/>
        <v>781</v>
      </c>
      <c r="P14" s="189">
        <f t="shared" si="7"/>
        <v>222</v>
      </c>
      <c r="Q14" s="189">
        <f t="shared" si="7"/>
        <v>723</v>
      </c>
      <c r="R14" s="189">
        <f t="shared" si="7"/>
        <v>7944</v>
      </c>
      <c r="S14" s="189">
        <f t="shared" si="7"/>
        <v>6358</v>
      </c>
      <c r="T14" s="189">
        <f t="shared" si="7"/>
        <v>2312</v>
      </c>
      <c r="U14" s="189">
        <f t="shared" si="7"/>
        <v>1908</v>
      </c>
      <c r="V14" s="189">
        <f t="shared" si="7"/>
        <v>6635</v>
      </c>
      <c r="W14" s="189">
        <f t="shared" si="7"/>
        <v>312</v>
      </c>
      <c r="X14" s="189">
        <f t="shared" si="7"/>
        <v>919</v>
      </c>
      <c r="Y14" s="189">
        <f t="shared" si="7"/>
        <v>177</v>
      </c>
      <c r="Z14" s="189">
        <f t="shared" si="7"/>
        <v>104</v>
      </c>
      <c r="AA14" s="189">
        <f t="shared" si="7"/>
        <v>98</v>
      </c>
      <c r="AB14" s="189">
        <f t="shared" si="7"/>
        <v>183</v>
      </c>
      <c r="AC14" s="189">
        <f t="shared" si="7"/>
        <v>0</v>
      </c>
      <c r="AD14" s="189">
        <f t="shared" si="7"/>
        <v>0</v>
      </c>
      <c r="AE14" s="189">
        <f t="shared" si="7"/>
        <v>0</v>
      </c>
      <c r="AF14" s="189">
        <f>SUBTOTAL(9,AF9:AF13)</f>
        <v>0</v>
      </c>
      <c r="AG14" s="189">
        <f t="shared" ref="AG14:AT14" si="8">SUBTOTAL(9,AG8:AG13)</f>
        <v>79</v>
      </c>
      <c r="AH14" s="189">
        <f t="shared" si="8"/>
        <v>88</v>
      </c>
      <c r="AI14" s="189">
        <f t="shared" si="8"/>
        <v>81</v>
      </c>
      <c r="AJ14" s="189">
        <f t="shared" si="8"/>
        <v>86</v>
      </c>
      <c r="AK14" s="189">
        <f t="shared" si="8"/>
        <v>0</v>
      </c>
      <c r="AL14" s="189">
        <f t="shared" si="8"/>
        <v>0</v>
      </c>
      <c r="AM14" s="189">
        <f t="shared" si="8"/>
        <v>0</v>
      </c>
      <c r="AN14" s="189">
        <f t="shared" si="8"/>
        <v>0</v>
      </c>
      <c r="AO14" s="189">
        <f t="shared" si="8"/>
        <v>9</v>
      </c>
      <c r="AP14" s="189">
        <f t="shared" si="8"/>
        <v>8</v>
      </c>
      <c r="AQ14" s="189">
        <f t="shared" si="8"/>
        <v>8</v>
      </c>
      <c r="AR14" s="189">
        <f t="shared" si="8"/>
        <v>8</v>
      </c>
      <c r="AS14" s="189">
        <f t="shared" si="8"/>
        <v>0</v>
      </c>
      <c r="AT14" s="189">
        <f t="shared" si="8"/>
        <v>0</v>
      </c>
      <c r="AU14" s="209"/>
      <c r="AV14" s="134"/>
      <c r="AW14" s="209"/>
      <c r="AX14" s="134"/>
      <c r="AY14" s="189">
        <f>SUBTOTAL(9,AY8:AY13)</f>
        <v>6437</v>
      </c>
      <c r="AZ14" s="189">
        <f>SUBTOTAL(9,AZ8:AZ13)</f>
        <v>2400</v>
      </c>
      <c r="BA14" s="189">
        <f>SUBTOTAL(9,BA8:BA13)</f>
        <v>1989</v>
      </c>
      <c r="BB14" s="189">
        <f>SUBTOTAL(9,BB8:BB13)</f>
        <v>6721</v>
      </c>
      <c r="BC14" s="189">
        <f>SUBTOTAL(9,BC8:BC13)</f>
        <v>923</v>
      </c>
      <c r="BD14" s="210">
        <f>IF(ISNUMBER(BA14/AZ14),BA14/AZ14," - ")</f>
        <v>0.82874999999999999</v>
      </c>
      <c r="BE14" s="211">
        <f>IF(ISNUMBER(BB14/BA14),BB14/BA14, " - ")</f>
        <v>3.3790849673202614</v>
      </c>
      <c r="BF14" s="211">
        <f>IF(ISNUMBER(BC14/BA14),BC14/BA14, " - ")</f>
        <v>0.46405228758169936</v>
      </c>
      <c r="BG14" s="212">
        <f>IF(ISNUMBER((AY14+AZ14)/BA14),(AY14+AZ14)/BA14," - ")</f>
        <v>4.442936148818502</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2424</v>
      </c>
      <c r="J17" s="188">
        <v>1760</v>
      </c>
      <c r="K17" s="188">
        <v>1591</v>
      </c>
      <c r="L17" s="188">
        <v>2737</v>
      </c>
      <c r="M17" s="188">
        <v>257</v>
      </c>
      <c r="N17" s="188">
        <v>793</v>
      </c>
      <c r="O17" s="186">
        <v>0</v>
      </c>
      <c r="P17" s="188">
        <v>47</v>
      </c>
      <c r="Q17" s="188">
        <v>23</v>
      </c>
      <c r="R17" s="188">
        <v>393</v>
      </c>
      <c r="S17" s="188">
        <v>2840</v>
      </c>
      <c r="T17" s="188">
        <v>1813</v>
      </c>
      <c r="U17" s="188">
        <v>2020</v>
      </c>
      <c r="V17" s="188">
        <v>2634</v>
      </c>
      <c r="W17" s="188">
        <v>348</v>
      </c>
      <c r="X17" s="194">
        <v>1026</v>
      </c>
      <c r="Y17" s="207">
        <v>0</v>
      </c>
      <c r="Z17" s="188">
        <v>0</v>
      </c>
      <c r="AA17" s="188">
        <v>0</v>
      </c>
      <c r="AB17" s="188">
        <v>0</v>
      </c>
      <c r="AC17" s="188">
        <v>82</v>
      </c>
      <c r="AD17" s="188">
        <v>71</v>
      </c>
      <c r="AE17" s="188">
        <v>78</v>
      </c>
      <c r="AF17" s="194">
        <v>75</v>
      </c>
      <c r="AG17" s="207">
        <v>0</v>
      </c>
      <c r="AH17" s="188">
        <v>0</v>
      </c>
      <c r="AI17" s="188">
        <v>0</v>
      </c>
      <c r="AJ17" s="208">
        <v>0</v>
      </c>
      <c r="AK17" s="187">
        <v>104</v>
      </c>
      <c r="AL17" s="188">
        <v>110</v>
      </c>
      <c r="AM17" s="188">
        <v>107</v>
      </c>
      <c r="AN17" s="194">
        <v>107</v>
      </c>
      <c r="AO17" s="264">
        <v>8</v>
      </c>
      <c r="AP17" s="160">
        <v>8</v>
      </c>
      <c r="AQ17" s="160">
        <v>8</v>
      </c>
      <c r="AR17" s="160">
        <v>8</v>
      </c>
      <c r="AS17" s="350" t="s">
        <v>545</v>
      </c>
      <c r="AT17" s="208"/>
      <c r="AU17" s="207"/>
      <c r="AV17" s="208"/>
      <c r="AW17" s="207"/>
      <c r="AX17" s="208"/>
      <c r="AY17" s="128">
        <f t="shared" si="10"/>
        <v>2840</v>
      </c>
      <c r="AZ17" s="129">
        <f t="shared" si="10"/>
        <v>1813</v>
      </c>
      <c r="BA17" s="129">
        <f t="shared" si="10"/>
        <v>2020</v>
      </c>
      <c r="BB17" s="129">
        <f t="shared" si="10"/>
        <v>2634</v>
      </c>
      <c r="BC17" s="127">
        <f>IF(ISNUMBER(W17),W17," - ")</f>
        <v>348</v>
      </c>
      <c r="BD17" s="128">
        <f t="shared" ref="BD17:BD19" si="12">IF(ISNUMBER(BA17/AZ17),BA17/AZ17," - ")</f>
        <v>1.1141753998896855</v>
      </c>
      <c r="BE17" s="129">
        <f t="shared" ref="BE17:BE19" si="13">IF(ISNUMBER(BB17/BA17),BB17/BA17, " - ")</f>
        <v>1.303960396039604</v>
      </c>
      <c r="BF17" s="129">
        <f t="shared" ref="BF17:BF19" si="14">IF(ISNUMBER(BC17/BA17),BC17/BA17, " - ")</f>
        <v>0.17227722772277226</v>
      </c>
      <c r="BG17" s="201">
        <f t="shared" si="11"/>
        <v>2.3034653465346535</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213</v>
      </c>
      <c r="J18" s="188">
        <v>201</v>
      </c>
      <c r="K18" s="188">
        <v>85</v>
      </c>
      <c r="L18" s="188">
        <v>329</v>
      </c>
      <c r="M18" s="188">
        <v>0</v>
      </c>
      <c r="N18" s="188">
        <v>0</v>
      </c>
      <c r="O18" s="188">
        <v>0</v>
      </c>
      <c r="P18" s="188">
        <v>0</v>
      </c>
      <c r="Q18" s="188">
        <v>0</v>
      </c>
      <c r="R18" s="188">
        <v>0</v>
      </c>
      <c r="S18" s="188">
        <v>225</v>
      </c>
      <c r="T18" s="188">
        <v>247</v>
      </c>
      <c r="U18" s="188">
        <v>254</v>
      </c>
      <c r="V18" s="188">
        <v>219</v>
      </c>
      <c r="W18" s="188">
        <v>6</v>
      </c>
      <c r="X18" s="194">
        <v>74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225</v>
      </c>
      <c r="AZ18" s="131">
        <f t="shared" si="15"/>
        <v>247</v>
      </c>
      <c r="BA18" s="131">
        <f t="shared" si="15"/>
        <v>254</v>
      </c>
      <c r="BB18" s="131">
        <f t="shared" si="15"/>
        <v>219</v>
      </c>
      <c r="BC18" s="127">
        <f>IF(ISNUMBER(W18),W18," - ")</f>
        <v>6</v>
      </c>
      <c r="BD18" s="128">
        <f>IF(ISNUMBER(BA18/AZ18),BA18/AZ18," - ")</f>
        <v>1.0283400809716599</v>
      </c>
      <c r="BE18" s="129">
        <f>IF(ISNUMBER(BB18/BA18),BB18/BA18, " - ")</f>
        <v>0.86220472440944884</v>
      </c>
      <c r="BF18" s="129">
        <f>IF(ISNUMBER(BC18/BA18),BC18/BA18, " - ")</f>
        <v>2.3622047244094488E-2</v>
      </c>
      <c r="BG18" s="201">
        <f>IF(ISNUMBER((AY18+AZ18)/BA18),(AY18+AZ18)/BA18," - ")</f>
        <v>1.8582677165354331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2637</v>
      </c>
      <c r="J20" s="189">
        <f t="shared" si="16"/>
        <v>1961</v>
      </c>
      <c r="K20" s="189">
        <f t="shared" si="16"/>
        <v>1676</v>
      </c>
      <c r="L20" s="189">
        <f t="shared" si="16"/>
        <v>3066</v>
      </c>
      <c r="M20" s="189">
        <f t="shared" si="16"/>
        <v>257</v>
      </c>
      <c r="N20" s="189">
        <f t="shared" si="16"/>
        <v>793</v>
      </c>
      <c r="O20" s="189">
        <f t="shared" si="16"/>
        <v>0</v>
      </c>
      <c r="P20" s="189">
        <f t="shared" si="16"/>
        <v>47</v>
      </c>
      <c r="Q20" s="189">
        <f t="shared" si="16"/>
        <v>23</v>
      </c>
      <c r="R20" s="189">
        <f t="shared" si="16"/>
        <v>393</v>
      </c>
      <c r="S20" s="189">
        <f t="shared" si="16"/>
        <v>3065</v>
      </c>
      <c r="T20" s="189">
        <f t="shared" si="16"/>
        <v>2060</v>
      </c>
      <c r="U20" s="189">
        <f t="shared" si="16"/>
        <v>2274</v>
      </c>
      <c r="V20" s="189">
        <f t="shared" si="16"/>
        <v>2853</v>
      </c>
      <c r="W20" s="189">
        <f t="shared" si="16"/>
        <v>354</v>
      </c>
      <c r="X20" s="189">
        <f t="shared" si="16"/>
        <v>1100</v>
      </c>
      <c r="Y20" s="189">
        <f t="shared" si="16"/>
        <v>0</v>
      </c>
      <c r="Z20" s="189">
        <f t="shared" si="16"/>
        <v>0</v>
      </c>
      <c r="AA20" s="189">
        <f t="shared" si="16"/>
        <v>0</v>
      </c>
      <c r="AB20" s="189">
        <f t="shared" si="16"/>
        <v>0</v>
      </c>
      <c r="AC20" s="189">
        <f t="shared" si="16"/>
        <v>82</v>
      </c>
      <c r="AD20" s="189">
        <f t="shared" si="16"/>
        <v>71</v>
      </c>
      <c r="AE20" s="189">
        <f t="shared" si="16"/>
        <v>78</v>
      </c>
      <c r="AF20" s="189">
        <f t="shared" si="16"/>
        <v>75</v>
      </c>
      <c r="AG20" s="189">
        <f t="shared" si="16"/>
        <v>0</v>
      </c>
      <c r="AH20" s="189">
        <f t="shared" si="16"/>
        <v>0</v>
      </c>
      <c r="AI20" s="189">
        <f t="shared" si="16"/>
        <v>0</v>
      </c>
      <c r="AJ20" s="189">
        <f t="shared" si="16"/>
        <v>0</v>
      </c>
      <c r="AK20" s="189">
        <f t="shared" si="16"/>
        <v>104</v>
      </c>
      <c r="AL20" s="189">
        <f t="shared" si="16"/>
        <v>110</v>
      </c>
      <c r="AM20" s="189">
        <f t="shared" si="16"/>
        <v>107</v>
      </c>
      <c r="AN20" s="189">
        <f t="shared" si="16"/>
        <v>107</v>
      </c>
      <c r="AO20" s="189">
        <f t="shared" si="16"/>
        <v>9</v>
      </c>
      <c r="AP20" s="189">
        <f t="shared" si="16"/>
        <v>8</v>
      </c>
      <c r="AQ20" s="189">
        <f t="shared" si="16"/>
        <v>8</v>
      </c>
      <c r="AR20" s="189">
        <f t="shared" si="16"/>
        <v>8</v>
      </c>
      <c r="AS20" s="189">
        <f t="shared" si="16"/>
        <v>0</v>
      </c>
      <c r="AT20" s="189">
        <f t="shared" si="16"/>
        <v>0</v>
      </c>
      <c r="AU20" s="209"/>
      <c r="AV20" s="134"/>
      <c r="AW20" s="209"/>
      <c r="AX20" s="134"/>
      <c r="AY20" s="189">
        <f>SUBTOTAL(9,AY15:AY19)</f>
        <v>3065</v>
      </c>
      <c r="AZ20" s="189">
        <f>SUBTOTAL(9,AZ15:AZ19)</f>
        <v>2060</v>
      </c>
      <c r="BA20" s="189">
        <f>SUBTOTAL(9,BA15:BA19)</f>
        <v>2274</v>
      </c>
      <c r="BB20" s="189">
        <f>SUBTOTAL(9,BB15:BB19)</f>
        <v>2853</v>
      </c>
      <c r="BC20" s="189">
        <f>SUBTOTAL(9,BC15:BC19)</f>
        <v>354</v>
      </c>
      <c r="BD20" s="210">
        <f>IF(ISNUMBER(BA20/AZ20),BA20/AZ20," - ")</f>
        <v>1.1038834951456311</v>
      </c>
      <c r="BE20" s="211">
        <f>IF(ISNUMBER(BB20/BA20),BB20/BA20, " - ")</f>
        <v>1.2546174142480211</v>
      </c>
      <c r="BF20" s="211">
        <f>IF(ISNUMBER(BC20/BA20),BC20/BA20, " - ")</f>
        <v>0.15567282321899736</v>
      </c>
      <c r="BG20" s="212">
        <f>IF(ISNUMBER((AY20+AZ20)/BA20),(AY20+AZ20)/BA20," - ")</f>
        <v>2.2537379067722076</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9394</v>
      </c>
      <c r="J21" s="136">
        <f t="shared" si="19"/>
        <v>3021</v>
      </c>
      <c r="K21" s="136">
        <f t="shared" si="19"/>
        <v>3453</v>
      </c>
      <c r="L21" s="136">
        <f t="shared" si="19"/>
        <v>9100</v>
      </c>
      <c r="M21" s="136">
        <f t="shared" si="19"/>
        <v>558</v>
      </c>
      <c r="N21" s="136">
        <f t="shared" si="19"/>
        <v>1737</v>
      </c>
      <c r="O21" s="136">
        <f t="shared" si="19"/>
        <v>781</v>
      </c>
      <c r="P21" s="136">
        <f t="shared" si="19"/>
        <v>269</v>
      </c>
      <c r="Q21" s="136">
        <f t="shared" si="19"/>
        <v>746</v>
      </c>
      <c r="R21" s="136">
        <f t="shared" si="19"/>
        <v>8337</v>
      </c>
      <c r="S21" s="136">
        <f t="shared" si="19"/>
        <v>9423</v>
      </c>
      <c r="T21" s="136">
        <f t="shared" si="19"/>
        <v>4372</v>
      </c>
      <c r="U21" s="136">
        <f t="shared" si="19"/>
        <v>4182</v>
      </c>
      <c r="V21" s="136">
        <f t="shared" si="19"/>
        <v>9488</v>
      </c>
      <c r="W21" s="136">
        <f t="shared" si="19"/>
        <v>666</v>
      </c>
      <c r="X21" s="136">
        <f t="shared" si="19"/>
        <v>2019</v>
      </c>
      <c r="Y21" s="136">
        <f t="shared" si="19"/>
        <v>177</v>
      </c>
      <c r="Z21" s="136">
        <f t="shared" si="19"/>
        <v>104</v>
      </c>
      <c r="AA21" s="136">
        <f t="shared" si="19"/>
        <v>98</v>
      </c>
      <c r="AB21" s="136">
        <f t="shared" si="19"/>
        <v>183</v>
      </c>
      <c r="AC21" s="136">
        <f t="shared" si="19"/>
        <v>82</v>
      </c>
      <c r="AD21" s="136">
        <f t="shared" si="19"/>
        <v>71</v>
      </c>
      <c r="AE21" s="136">
        <f t="shared" si="19"/>
        <v>78</v>
      </c>
      <c r="AF21" s="136">
        <f t="shared" si="19"/>
        <v>75</v>
      </c>
      <c r="AG21" s="136">
        <f t="shared" si="19"/>
        <v>79</v>
      </c>
      <c r="AH21" s="136">
        <f t="shared" si="19"/>
        <v>88</v>
      </c>
      <c r="AI21" s="136">
        <f t="shared" si="19"/>
        <v>81</v>
      </c>
      <c r="AJ21" s="136">
        <f t="shared" si="19"/>
        <v>86</v>
      </c>
      <c r="AK21" s="136">
        <f t="shared" si="19"/>
        <v>104</v>
      </c>
      <c r="AL21" s="136">
        <f t="shared" si="19"/>
        <v>110</v>
      </c>
      <c r="AM21" s="136">
        <f t="shared" si="19"/>
        <v>107</v>
      </c>
      <c r="AN21" s="215">
        <f t="shared" si="19"/>
        <v>107</v>
      </c>
      <c r="AO21" s="216">
        <v>9</v>
      </c>
      <c r="AP21" s="216">
        <v>8</v>
      </c>
      <c r="AQ21" s="216">
        <v>8</v>
      </c>
      <c r="AR21" s="216">
        <v>8</v>
      </c>
      <c r="AS21" s="158">
        <f t="shared" si="19"/>
        <v>0</v>
      </c>
      <c r="AT21" s="158">
        <f t="shared" si="19"/>
        <v>0</v>
      </c>
      <c r="AU21" s="216"/>
      <c r="AV21" s="217"/>
      <c r="AW21" s="216"/>
      <c r="AX21" s="217"/>
      <c r="AY21" s="135">
        <f>SUBTOTAL(9,AY9:AY20)</f>
        <v>9502</v>
      </c>
      <c r="AZ21" s="136">
        <f>SUBTOTAL(9,AZ9:AZ20)</f>
        <v>4460</v>
      </c>
      <c r="BA21" s="136">
        <f>SUBTOTAL(9,BA9:BA20)</f>
        <v>4263</v>
      </c>
      <c r="BB21" s="136">
        <f>SUBTOTAL(9,BB9:BB20)</f>
        <v>9574</v>
      </c>
      <c r="BC21" s="137">
        <f>SUBTOTAL(9,BC9:BC20)</f>
        <v>1277</v>
      </c>
      <c r="BD21" s="218">
        <f>IF(ISNUMBER(BA21/AZ21),BA21/AZ21," - ")</f>
        <v>0.95582959641255605</v>
      </c>
      <c r="BE21" s="215">
        <f>IF(ISNUMBER(BB21/BA21),BB21/BA21, " - ")</f>
        <v>2.2458362655406989</v>
      </c>
      <c r="BF21" s="215">
        <f>IF(ISNUMBER(BC21/BA21),BC21/BA21, " - ")</f>
        <v>0.29955430448041287</v>
      </c>
      <c r="BG21" s="137">
        <f>IF(ISNUMBER((AY21+AZ21)/BA21),(AY21+AZ21)/BA21," - ")</f>
        <v>3.2751583391977479</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l0eW5XMc0dJIbflzdwP1oNONm94H0/abk8FGmA0UUytQFRfN9y2JWSY/2w4sFlG+4FJ22/NTknmlxR6nLPt8w==" saltValue="GUjgK9nDla5QrJp5X5Dp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GH67jHMUsEH8NZT4q1+rJbhbpctGVwXUoGiOhUl1m6CwhHB1b1IPpYpqq7Z94UNFKf65YifRnjTqv693lxKTA==" saltValue="kgFh82mVZp9UTKrdW/t5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ARENYS DE MAR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105</v>
      </c>
      <c r="G10" s="498">
        <f>IF(ISNUMBER(Datos!I10),Datos!I10," - ")</f>
        <v>111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9</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141</v>
      </c>
      <c r="AG10" s="504"/>
      <c r="AH10" s="504"/>
      <c r="AI10" s="504"/>
      <c r="AJ10" s="504"/>
      <c r="AK10" s="504"/>
      <c r="AL10" s="505"/>
      <c r="AM10" s="672">
        <f>IF(ISNUMBER(Datos!R10),Datos!R10," - ")</f>
        <v>178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5.3254437869822487E-2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104</v>
      </c>
      <c r="O12" s="504"/>
      <c r="P12" s="504"/>
      <c r="Q12" s="502">
        <f>IF(ISNUMBER(Datos!P12),Datos!P12,0)</f>
        <v>213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723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183</v>
      </c>
      <c r="AI12" s="504" t="str">
        <f>IF(ISNUMBER(Datos!CD12),Datos!CD12,"-")</f>
        <v>-</v>
      </c>
      <c r="AJ12" s="504" t="str">
        <f>IF(ISNUMBER(Datos!EN12),Datos!EN12," - ")</f>
        <v xml:space="preserve"> - </v>
      </c>
      <c r="AK12" s="504"/>
      <c r="AL12" s="505"/>
      <c r="AM12" s="672">
        <f>IF(ISNUMBER(Datos!R12),Datos!R12," - ")</f>
        <v>7766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301</v>
      </c>
      <c r="BD12" s="620">
        <f>IF(ISNUMBER(Datos!N12),Datos!N12," - ")</f>
        <v>944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1.6622340425531914</v>
      </c>
      <c r="BH12" s="670">
        <f>IF(ISNUMBER(((IF(J_V="SI",Datos!L12/Datos!K12,(Datos!L12+Datos!AB12)/(Datos!K12+Datos!AA12)))*11)/factor_trimestre),((IF(J_V="SI",Datos!L12/Datos!K12,(Datos!L12+Datos!AB12)/(Datos!K12+Datos!AA12)))*11)/factor_trimestre," - ")</f>
        <v>9.7216000000000005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-6.1623972933784438E-2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105</v>
      </c>
      <c r="G14" s="1045">
        <f t="shared" si="1"/>
        <v>111</v>
      </c>
      <c r="H14" s="1046">
        <f t="shared" si="1"/>
        <v>0</v>
      </c>
      <c r="I14" s="1045">
        <f t="shared" si="1"/>
        <v>0</v>
      </c>
      <c r="J14" s="1014">
        <f t="shared" si="1"/>
        <v>0</v>
      </c>
      <c r="K14" s="1014">
        <f t="shared" si="1"/>
        <v>0</v>
      </c>
      <c r="L14" s="1046">
        <f t="shared" si="1"/>
        <v>0</v>
      </c>
      <c r="M14" s="1046">
        <f t="shared" si="1"/>
        <v>0</v>
      </c>
      <c r="N14" s="1046">
        <f t="shared" si="1"/>
        <v>104</v>
      </c>
      <c r="O14" s="1047">
        <f t="shared" si="1"/>
        <v>0</v>
      </c>
      <c r="P14" s="1047">
        <f t="shared" si="1"/>
        <v>0</v>
      </c>
      <c r="Q14" s="1046">
        <f t="shared" si="1"/>
        <v>222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723</v>
      </c>
      <c r="AD14" s="1046">
        <f t="shared" si="2"/>
        <v>0</v>
      </c>
      <c r="AE14" s="1046">
        <f t="shared" si="2"/>
        <v>0</v>
      </c>
      <c r="AF14" s="1046">
        <f t="shared" si="2"/>
        <v>141</v>
      </c>
      <c r="AG14" s="1046">
        <f t="shared" si="2"/>
        <v>0</v>
      </c>
      <c r="AH14" s="1046">
        <f t="shared" si="2"/>
        <v>183</v>
      </c>
      <c r="AI14" s="1046">
        <f t="shared" si="2"/>
        <v>0</v>
      </c>
      <c r="AJ14" s="1046">
        <f t="shared" si="2"/>
        <v>0</v>
      </c>
      <c r="AK14" s="1046">
        <f t="shared" si="2"/>
        <v>0</v>
      </c>
      <c r="AL14" s="1046">
        <f t="shared" si="2"/>
        <v>0</v>
      </c>
      <c r="AM14" s="1046">
        <f t="shared" si="2"/>
        <v>7944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301</v>
      </c>
      <c r="BD14" s="1046">
        <f t="shared" si="2"/>
        <v>944</v>
      </c>
      <c r="BE14" s="1046">
        <f t="shared" si="2"/>
        <v>0</v>
      </c>
      <c r="BF14" s="1046">
        <f t="shared" si="2"/>
        <v>0</v>
      </c>
      <c r="BG14" s="1046">
        <f>IF(ISNUMBER(Datos!K14/Datos!J14),Datos!K14/Datos!J14," - ")</f>
        <v>1.6764150943396225</v>
      </c>
      <c r="BH14" s="1050">
        <f>IF(ISNUMBER(((Datos!L14/Datos!K14)*11)/factor_trimestre),((Datos!L14/Datos!K14)*11)/factor_trimestre," - ")</f>
        <v>10.186831738885763</v>
      </c>
      <c r="BI14" s="1046">
        <f>IF(ISNUMBER('Resol  Asuntos'!D14/NºAsuntos!G14),'Resol  Asuntos'!D14/NºAsuntos!G14," - ")</f>
        <v>0.16053333333333333</v>
      </c>
      <c r="BJ14" s="1046" t="str">
        <f>IF(ISNUMBER(Datos!CI14/Datos!CJ14),Datos!CI14/Datos!CJ14," - ")</f>
        <v xml:space="preserve"> - </v>
      </c>
      <c r="BK14" s="1046">
        <f>SUBTOTAL(9,BK8:BK13)</f>
        <v>0</v>
      </c>
      <c r="BL14" s="1046">
        <f>IF(ISNUMBER((I14-AB14+L14)/(F14)),(I14-AB14+L14)/(F14)," - ")</f>
        <v>0</v>
      </c>
      <c r="BM14" s="1051">
        <f>SUBTOTAL(9,BM9:BM13)</f>
        <v>-8.3695350639619512E-3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2568</v>
      </c>
      <c r="G17" s="651">
        <f>IF(ISNUMBER(IF(D_I="SI",Datos!I17,Datos!I17+Datos!AC17)),IF(D_I="SI",Datos!I17,Datos!I17+Datos!AC17)," - ")</f>
        <v>2424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1591</v>
      </c>
      <c r="AC17" s="231">
        <f>IF(ISNUMBER(Datos!Q17),Datos!Q17," - ")</f>
        <v>23</v>
      </c>
      <c r="AD17" s="344"/>
      <c r="AE17" s="516"/>
      <c r="AF17" s="649">
        <f>IF(ISNUMBER(IF(D_I="SI",Datos!L17,Datos!L17+Datos!AF17)),IF(D_I="SI",Datos!L17,Datos!L17+Datos!AF17)," - ")</f>
        <v>2737</v>
      </c>
      <c r="AG17" s="344"/>
      <c r="AH17" s="344"/>
      <c r="AI17" s="344"/>
      <c r="AJ17" s="504"/>
      <c r="AK17" s="344"/>
      <c r="AL17" s="500"/>
      <c r="AM17" s="345">
        <f>IF(ISNUMBER(Datos!R17),Datos!R17," - ")</f>
        <v>393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257</v>
      </c>
      <c r="BD17" s="234">
        <f>IF(ISNUMBER(Datos!N17),Datos!N17," - ")</f>
        <v>793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0.90397727272727268</v>
      </c>
      <c r="BH17" s="670">
        <f>IF(ISNUMBER(((IF(D_I="SI",Datos!L17/Datos!K17,(Datos!L17+Datos!AF17)/(Datos!K17+Datos!AE17)))*11)/factor_trimestre),((IF(D_I="SI",Datos!L17/Datos!K17,(Datos!L17+Datos!AF17)/(Datos!K17+Datos!AE17)))*11)/factor_trimestre," - ")</f>
        <v>5.1609050911376491</v>
      </c>
      <c r="BI17" s="248">
        <f>IF(ISNUMBER('Resol  Asuntos'!D17/NºAsuntos!G17),'Resol  Asuntos'!D17/NºAsuntos!G17," - ")</f>
        <v>0.16153362664990573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85</v>
      </c>
      <c r="AC18" s="502">
        <f>IF(ISNUMBER(Datos!Q18),Datos!Q18," - ")</f>
        <v>0</v>
      </c>
      <c r="AD18" s="504"/>
      <c r="AE18" s="516"/>
      <c r="AF18" s="506">
        <f>IF(ISNUMBER(Datos!L18),Datos!L18,"-")</f>
        <v>329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0.4228855721393035</v>
      </c>
      <c r="BH18" s="670">
        <f>IF(ISNUMBER(((IF(D_I="SI",Datos!L18/Datos!K18,(Datos!L18+Datos!AF18)/(Datos!K18+Datos!AE18)))*11)/factor_trimestre),((IF(D_I="SI",Datos!L18/Datos!K18,(Datos!L18+Datos!AF18)/(Datos!K18+Datos!AE18)))*11)/factor_trimestre," - ")</f>
        <v>11.611764705882354</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2568</v>
      </c>
      <c r="G20" s="1045">
        <f>SUBTOTAL(9,G16:G19)</f>
        <v>2637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1676</v>
      </c>
      <c r="AC20" s="1046">
        <f t="shared" si="5"/>
        <v>23</v>
      </c>
      <c r="AD20" s="1046">
        <f t="shared" si="5"/>
        <v>0</v>
      </c>
      <c r="AE20" s="1046">
        <f t="shared" si="5"/>
        <v>0</v>
      </c>
      <c r="AF20" s="1046">
        <f t="shared" si="5"/>
        <v>3066</v>
      </c>
      <c r="AG20" s="1046">
        <f t="shared" si="5"/>
        <v>0</v>
      </c>
      <c r="AH20" s="1046">
        <f t="shared" si="5"/>
        <v>0</v>
      </c>
      <c r="AI20" s="1046">
        <f t="shared" si="5"/>
        <v>0</v>
      </c>
      <c r="AJ20" s="1046">
        <f t="shared" si="5"/>
        <v>0</v>
      </c>
      <c r="AK20" s="1046">
        <f t="shared" si="5"/>
        <v>0</v>
      </c>
      <c r="AL20" s="1046">
        <f t="shared" si="5"/>
        <v>0</v>
      </c>
      <c r="AM20" s="1046">
        <f t="shared" si="5"/>
        <v>393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257</v>
      </c>
      <c r="BD20" s="1046">
        <f t="shared" si="5"/>
        <v>793</v>
      </c>
      <c r="BE20" s="1046">
        <f t="shared" si="5"/>
        <v>0</v>
      </c>
      <c r="BF20" s="1046">
        <f t="shared" si="5"/>
        <v>0</v>
      </c>
      <c r="BG20" s="1046">
        <f>IF(ISNUMBER(Datos!K20/Datos!J20),Datos!K20/Datos!J20," - ")</f>
        <v>0.85466598674145844</v>
      </c>
      <c r="BH20" s="1050">
        <f>IF(ISNUMBER(((Datos!L20/Datos!K20)*11)/factor_trimestre),((Datos!L20/Datos!K20)*11)/factor_trimestre," - ")</f>
        <v>5.4880668257756566</v>
      </c>
      <c r="BI20" s="1046">
        <f>SUBTOTAL(9,BI16:BI19)</f>
        <v>0.16153362664990573</v>
      </c>
      <c r="BJ20" s="1046">
        <f>SUBTOTAL(9,BJ16:BJ19)</f>
        <v>0</v>
      </c>
      <c r="BK20" s="1046">
        <f>SUBTOTAL(9,BK16:BK19)</f>
        <v>0</v>
      </c>
      <c r="BL20" s="1046">
        <f>IF(ISNUMBER((I20-AB20+L20)/(F20)),(I20-AB20+L20)/(F20)," - ")</f>
        <v>-0.65264797507788164</v>
      </c>
      <c r="BM20" s="1052">
        <f>IF(ISNUMBER((Datos!P20-Datos!Q20)/(Datos!R20-Datos!P20+Datos!Q20)),(Datos!P20-Datos!Q20)/(Datos!R20-Datos!P20+Datos!Q20)," - ")</f>
        <v>6.5040650406504072E-2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2673</v>
      </c>
      <c r="G21" s="967">
        <f t="shared" si="7"/>
        <v>2748</v>
      </c>
      <c r="H21" s="969">
        <f t="shared" si="7"/>
        <v>0</v>
      </c>
      <c r="I21" s="967">
        <f t="shared" si="7"/>
        <v>0</v>
      </c>
      <c r="J21" s="969">
        <f t="shared" si="7"/>
        <v>0</v>
      </c>
      <c r="K21" s="969">
        <f t="shared" si="7"/>
        <v>0</v>
      </c>
      <c r="L21" s="1028">
        <f t="shared" si="7"/>
        <v>0</v>
      </c>
      <c r="M21" s="1028">
        <f t="shared" si="7"/>
        <v>0</v>
      </c>
      <c r="N21" s="1028">
        <f t="shared" si="7"/>
        <v>104</v>
      </c>
      <c r="O21" s="1028">
        <f t="shared" si="7"/>
        <v>0</v>
      </c>
      <c r="P21" s="1028">
        <f t="shared" si="7"/>
        <v>0</v>
      </c>
      <c r="Q21" s="969">
        <f t="shared" si="7"/>
        <v>269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1676</v>
      </c>
      <c r="AC21" s="968">
        <f t="shared" si="8"/>
        <v>746</v>
      </c>
      <c r="AD21" s="968">
        <f t="shared" si="8"/>
        <v>0</v>
      </c>
      <c r="AE21" s="968">
        <f t="shared" si="8"/>
        <v>0</v>
      </c>
      <c r="AF21" s="975">
        <f t="shared" si="8"/>
        <v>3207</v>
      </c>
      <c r="AG21" s="975">
        <f t="shared" si="8"/>
        <v>0</v>
      </c>
      <c r="AH21" s="975">
        <f t="shared" si="8"/>
        <v>183</v>
      </c>
      <c r="AI21" s="975">
        <f t="shared" si="8"/>
        <v>0</v>
      </c>
      <c r="AJ21" s="968">
        <f t="shared" si="8"/>
        <v>0</v>
      </c>
      <c r="AK21" s="975">
        <f t="shared" si="8"/>
        <v>0</v>
      </c>
      <c r="AL21" s="975">
        <f t="shared" si="8"/>
        <v>0</v>
      </c>
      <c r="AM21" s="975">
        <f t="shared" si="8"/>
        <v>8337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558</v>
      </c>
      <c r="BD21" s="967">
        <f t="shared" si="8"/>
        <v>1737</v>
      </c>
      <c r="BE21" s="967">
        <f t="shared" si="8"/>
        <v>0</v>
      </c>
      <c r="BF21" s="977">
        <f t="shared" si="8"/>
        <v>0</v>
      </c>
      <c r="BG21" s="1062">
        <f>IF(ISNUMBER(Datos!K21/Datos!J21),Datos!K21/Datos!J21," - ")</f>
        <v>1.1429990069513407</v>
      </c>
      <c r="BH21" s="1062">
        <f>IF(ISNUMBER(((Datos!L21/Datos!K21)*11)/factor_trimestre),((Datos!L21/Datos!K21)*11)/factor_trimestre," - ")</f>
        <v>7.9061685490877496</v>
      </c>
      <c r="BI21" s="960">
        <f>IF(ISNUMBER(Datos!J21/Datos!I21),Datos!J21/Datos!I21," - ")</f>
        <v>0.32158824781775602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-0.62701084923307149</v>
      </c>
      <c r="BM21" s="1036">
        <f>IF(ISNUMBER((Datos!P21-Datos!Q21+R21)/(Datos!R21-Datos!P21+Datos!Q21-R21)),(Datos!P21-Datos!Q21+R21)/(Datos!R21-Datos!P21+Datos!Q21-R21)," - ")</f>
        <v>-5.4118447923757661E-2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1099.2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4.036199832876104</v>
      </c>
      <c r="F23" s="600">
        <f>IF(ISNUMBER(STDEV(F8:F20)),STDEV(F8:F20),"-")</f>
        <v>1422.0137130140483</v>
      </c>
      <c r="G23" s="601">
        <f>IF(ISNUMBER(STDEV(G8:G20)),STDEV(G8:G20),"-")</f>
        <v>1309.4228499610047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880.38360957028272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145.41251665520406</v>
      </c>
      <c r="BD23" s="600"/>
      <c r="BE23" s="600">
        <f>IF(ISNUMBER(STDEV(BE8:BE20)),STDEV(BE8:BE20),"-")</f>
        <v>0</v>
      </c>
      <c r="BF23" s="605">
        <f>IF(ISNUMBER(STDEV(BF8:BF20)),STDEV(BF8:BF20),"-")</f>
        <v>0</v>
      </c>
      <c r="BG23" s="915">
        <f>IF(ISNUMBER(STDEV(BG8:BG20)),STDEV(BG8:BG20),"-")</f>
        <v>0.666501789803428</v>
      </c>
      <c r="BH23" s="919">
        <f>IF(ISNUMBER(STDEV(BH8:BH20)),STDEV(BH8:BH20),"-")</f>
        <v>2.9249014428647238</v>
      </c>
      <c r="BI23" s="254">
        <f>IF(ISNUMBER(STDEV(BI8:BI20)),STDEV(BI8:BI20),"-")</f>
        <v>8.0601477117302117E-2</v>
      </c>
      <c r="BJ23" s="235" t="str">
        <f>IF(ISNUMBER(BL23/BM23),BL23/BM23," - ")</f>
        <v xml:space="preserve"> - </v>
      </c>
      <c r="BK23" s="627"/>
      <c r="BL23" s="608">
        <f>IF(ISNUMBER(STDEV(BL8:BL20)),STDEV(BL8:BL20),"-")</f>
        <v>0.461491808905239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lDHXVcEkEpViM+Z6dAdqs/bh1tF2dObRBKvRLyuXYkGJDGHViu/gO4mK5o0v7hb69M6uqEHcbdbM4DzrnsHA==" saltValue="Dg3M9eBxkZ0nIpFOBzgw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ARENYS DE MAR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105</v>
      </c>
      <c r="G10" s="507">
        <f>IF(ISNUMBER(Datos!I10),Datos!I10," - ")</f>
        <v>111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9</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141</v>
      </c>
      <c r="AB10" s="504"/>
      <c r="AC10" s="504"/>
      <c r="AD10" s="517"/>
      <c r="AE10" s="517">
        <f>IF(ISNUMBER(Datos!R10),Datos!R10," - ")</f>
        <v>178</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5.3254437869822487E-2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213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723</v>
      </c>
      <c r="AA12" s="506" t="str">
        <f>IF(ISNUMBER(IF(J_V="SI",Datos!L12,Datos!L12+Datos!AB12)-IF(Monitorios="SI",Datos!CD12,0)),
                          IF(J_V="SI",Datos!L12,Datos!L12+Datos!AB12)-IF(Monitorios="SI",Datos!CD12,0),
                          " - ")</f>
        <v xml:space="preserve"> - </v>
      </c>
      <c r="AB12" s="504"/>
      <c r="AC12" s="504"/>
      <c r="AD12" s="517"/>
      <c r="AE12" s="517">
        <f>IF(ISNUMBER(Datos!R12),Datos!R12," - ")</f>
        <v>7766</v>
      </c>
      <c r="AF12" s="620" t="str">
        <f>IF(ISNUMBER(Datos!BV12),Datos!BV12," - ")</f>
        <v xml:space="preserve"> - </v>
      </c>
      <c r="AG12" s="507" t="str">
        <f>IF(ISNUMBER(Datos!DV12),Datos!DV12," - ")</f>
        <v xml:space="preserve"> - </v>
      </c>
      <c r="AH12" s="508"/>
      <c r="AI12" s="509"/>
      <c r="AJ12" s="507">
        <f>IF(ISNUMBER(Datos!M12),Datos!M12," - ")</f>
        <v>301</v>
      </c>
      <c r="AK12" s="620">
        <f>IF(ISNUMBER(Datos!N12),Datos!N12," - ")</f>
        <v>944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9.7216000000000005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-6.1623972933784438E-2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105</v>
      </c>
      <c r="G14" s="1045">
        <f>SUBTOTAL(9,G8:G13)</f>
        <v>111</v>
      </c>
      <c r="H14" s="1055"/>
      <c r="I14" s="1045">
        <f t="shared" ref="I14:N14" si="1">SUBTOTAL(9,I8:I13)</f>
        <v>0</v>
      </c>
      <c r="J14" s="1014">
        <f t="shared" si="1"/>
        <v>0</v>
      </c>
      <c r="K14" s="1055">
        <f t="shared" si="1"/>
        <v>0</v>
      </c>
      <c r="L14" s="1055">
        <f t="shared" si="1"/>
        <v>0</v>
      </c>
      <c r="M14" s="1055">
        <f t="shared" si="1"/>
        <v>0</v>
      </c>
      <c r="N14" s="1055">
        <f t="shared" si="1"/>
        <v>222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723</v>
      </c>
      <c r="AA14" s="1047">
        <f t="shared" si="3"/>
        <v>141</v>
      </c>
      <c r="AB14" s="1047">
        <f t="shared" si="3"/>
        <v>0</v>
      </c>
      <c r="AC14" s="1047">
        <f t="shared" si="3"/>
        <v>0</v>
      </c>
      <c r="AD14" s="1047">
        <f t="shared" si="3"/>
        <v>0</v>
      </c>
      <c r="AE14" s="1047">
        <f t="shared" si="3"/>
        <v>7944</v>
      </c>
      <c r="AF14" s="1055">
        <f t="shared" si="3"/>
        <v>0</v>
      </c>
      <c r="AG14" s="1055">
        <f t="shared" si="3"/>
        <v>0</v>
      </c>
      <c r="AH14" s="1055">
        <f t="shared" si="3"/>
        <v>0</v>
      </c>
      <c r="AI14" s="1055">
        <f t="shared" si="3"/>
        <v>0</v>
      </c>
      <c r="AJ14" s="1055">
        <f t="shared" si="3"/>
        <v>301</v>
      </c>
      <c r="AK14" s="1055">
        <f t="shared" si="3"/>
        <v>944</v>
      </c>
      <c r="AL14" s="1055">
        <f t="shared" si="3"/>
        <v>0</v>
      </c>
      <c r="AM14" s="1055">
        <f t="shared" si="3"/>
        <v>0</v>
      </c>
      <c r="AN14" s="1055">
        <f t="shared" si="3"/>
        <v>0</v>
      </c>
      <c r="AO14" s="1051">
        <f>IF(ISNUMBER(((NºAsuntos!I14/NºAsuntos!G14)*11)/factor_trimestre),((NºAsuntos!I14/NºAsuntos!G14)*11)/factor_trimestre," - ")</f>
        <v>9.9472000000000005</v>
      </c>
      <c r="AP14" s="1057" t="str">
        <f>IF(ISNUMBER(Datos!CI14/Datos!CJ14),Datos!CI14/Datos!CJ14," - ")</f>
        <v xml:space="preserve"> - </v>
      </c>
      <c r="AQ14" s="1075">
        <f t="shared" ref="AQ14:AV14" si="4">SUBTOTAL(9,AQ9:AQ13)</f>
        <v>0</v>
      </c>
      <c r="AR14" s="1075">
        <f t="shared" si="4"/>
        <v>-8.3695350639619512E-3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2568</v>
      </c>
      <c r="G17" s="507">
        <f>IF(ISNUMBER(IF(D_I="SI",Datos!I17,Datos!I17+Datos!AC17)),IF(D_I="SI",Datos!I17,Datos!I17+Datos!AC17)," - ")</f>
        <v>2424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1591</v>
      </c>
      <c r="Z17" s="704">
        <f>IF(ISNUMBER(Datos!Q17),Datos!Q17," - ")</f>
        <v>23</v>
      </c>
      <c r="AA17" s="506">
        <f>IF(ISNUMBER(IF(D_I="SI",Datos!L17,Datos!L17+Datos!AF17)),IF(D_I="SI",Datos!L17,Datos!L17+Datos!AF17)," - ")</f>
        <v>2737</v>
      </c>
      <c r="AB17" s="504"/>
      <c r="AC17" s="504"/>
      <c r="AD17" s="517"/>
      <c r="AE17" s="517">
        <f>IF(ISNUMBER(Datos!R17),Datos!R17," - ")</f>
        <v>393</v>
      </c>
      <c r="AF17" s="620" t="str">
        <f>IF(ISNUMBER(Datos!BV17),Datos!BV17," - ")</f>
        <v xml:space="preserve"> - </v>
      </c>
      <c r="AG17" s="507"/>
      <c r="AH17" s="508"/>
      <c r="AI17" s="509"/>
      <c r="AJ17" s="507">
        <f>IF(ISNUMBER(Datos!M17),Datos!M17," - ")</f>
        <v>257</v>
      </c>
      <c r="AK17" s="620">
        <f>IF(ISNUMBER(Datos!N17),Datos!N17," - ")</f>
        <v>793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5.1609050911376491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85</v>
      </c>
      <c r="Z18" s="704">
        <f>IF(ISNUMBER(Datos!Q18),Datos!Q18," - ")</f>
        <v>0</v>
      </c>
      <c r="AA18" s="506">
        <f>IF(ISNUMBER(Datos!L18),Datos!L18,"-")</f>
        <v>329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11.611764705882354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2568</v>
      </c>
      <c r="G20" s="1045">
        <f>SUBTOTAL(9,G16:G19)</f>
        <v>2637</v>
      </c>
      <c r="H20" s="1079">
        <f>SUBTOTAL(9,H16:H19)</f>
        <v>0</v>
      </c>
      <c r="I20" s="1058">
        <f>SUBTOTAL(9,I16:I19)</f>
        <v>0</v>
      </c>
      <c r="J20" s="1014">
        <f>SUBTOTAL(9,J15:J19)</f>
        <v>0</v>
      </c>
      <c r="K20" s="1079">
        <f t="shared" ref="K20:S20" si="5">SUBTOTAL(9,K16:K19)</f>
        <v>0</v>
      </c>
      <c r="L20" s="1079">
        <f t="shared" si="5"/>
        <v>0</v>
      </c>
      <c r="M20" s="1079">
        <f t="shared" si="5"/>
        <v>0</v>
      </c>
      <c r="N20" s="1079">
        <f t="shared" si="5"/>
        <v>47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1676</v>
      </c>
      <c r="Z20" s="1079">
        <f t="shared" si="6"/>
        <v>23</v>
      </c>
      <c r="AA20" s="1079">
        <f t="shared" si="6"/>
        <v>3066</v>
      </c>
      <c r="AB20" s="1079">
        <f t="shared" si="6"/>
        <v>0</v>
      </c>
      <c r="AC20" s="1079">
        <f t="shared" si="6"/>
        <v>0</v>
      </c>
      <c r="AD20" s="1079">
        <f t="shared" si="6"/>
        <v>0</v>
      </c>
      <c r="AE20" s="1079">
        <f t="shared" si="6"/>
        <v>393</v>
      </c>
      <c r="AF20" s="1079">
        <f t="shared" si="6"/>
        <v>0</v>
      </c>
      <c r="AG20" s="1079">
        <f t="shared" si="6"/>
        <v>0</v>
      </c>
      <c r="AH20" s="1079">
        <f t="shared" si="6"/>
        <v>0</v>
      </c>
      <c r="AI20" s="1079">
        <f t="shared" si="6"/>
        <v>0</v>
      </c>
      <c r="AJ20" s="1079">
        <f t="shared" si="6"/>
        <v>257</v>
      </c>
      <c r="AK20" s="1079">
        <f t="shared" si="6"/>
        <v>793</v>
      </c>
      <c r="AL20" s="1079">
        <f t="shared" si="6"/>
        <v>0</v>
      </c>
      <c r="AM20" s="1079">
        <f t="shared" si="6"/>
        <v>0</v>
      </c>
      <c r="AN20" s="1079">
        <f t="shared" si="6"/>
        <v>0</v>
      </c>
      <c r="AO20" s="1081">
        <f>IF(ISNUMBER(((NºAsuntos!I20/NºAsuntos!G20)*11)/factor_trimestre),((NºAsuntos!I20/NºAsuntos!G20)*11)/factor_trimestre," - ")</f>
        <v>5.4880668257756566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2673</v>
      </c>
      <c r="G21" s="967">
        <f t="shared" si="8"/>
        <v>2748</v>
      </c>
      <c r="H21" s="968">
        <f t="shared" si="8"/>
        <v>0</v>
      </c>
      <c r="I21" s="967">
        <f t="shared" si="8"/>
        <v>0</v>
      </c>
      <c r="J21" s="969">
        <f t="shared" si="8"/>
        <v>0</v>
      </c>
      <c r="K21" s="967">
        <f t="shared" si="8"/>
        <v>0</v>
      </c>
      <c r="L21" s="970">
        <f t="shared" si="8"/>
        <v>0</v>
      </c>
      <c r="M21" s="967">
        <f t="shared" si="8"/>
        <v>0</v>
      </c>
      <c r="N21" s="968">
        <f t="shared" si="8"/>
        <v>269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1676</v>
      </c>
      <c r="Z21" s="974">
        <f t="shared" si="9"/>
        <v>746</v>
      </c>
      <c r="AA21" s="975">
        <f t="shared" si="9"/>
        <v>3207</v>
      </c>
      <c r="AB21" s="975">
        <f t="shared" si="9"/>
        <v>0</v>
      </c>
      <c r="AC21" s="975">
        <f t="shared" si="9"/>
        <v>0</v>
      </c>
      <c r="AD21" s="976">
        <f t="shared" si="9"/>
        <v>0</v>
      </c>
      <c r="AE21" s="976">
        <f t="shared" si="9"/>
        <v>8337</v>
      </c>
      <c r="AF21" s="977">
        <f t="shared" si="9"/>
        <v>0</v>
      </c>
      <c r="AG21" s="978">
        <f t="shared" si="9"/>
        <v>0</v>
      </c>
      <c r="AH21" s="979">
        <f t="shared" si="9"/>
        <v>0</v>
      </c>
      <c r="AI21" s="977">
        <f t="shared" si="9"/>
        <v>0</v>
      </c>
      <c r="AJ21" s="967">
        <f t="shared" si="9"/>
        <v>558</v>
      </c>
      <c r="AK21" s="967">
        <f t="shared" si="9"/>
        <v>1737</v>
      </c>
      <c r="AL21" s="967">
        <f t="shared" si="9"/>
        <v>0</v>
      </c>
      <c r="AM21" s="980">
        <f t="shared" si="9"/>
        <v>0</v>
      </c>
      <c r="AN21" s="970">
        <f>IF(ISNUMBER(Datos!K21/Datos!J21),Datos!K21/Datos!J21," - ")</f>
        <v>1.1429990069513407</v>
      </c>
      <c r="AO21" s="970">
        <f>IF(ISNUMBER(FIND("06",Criterios!A8,1)),(IF(ISNUMBER(((Datos!R21/Datos!Q21)*11)/factor_trimestre),((Datos!R21/Datos!Q21)*11)/factor_trimestre," - ")),(IF(ISNUMBER(((Datos!L21/Datos!K21)*11)/factor_trimestre),((Datos!L21/Datos!K21)*11)/factor_trimestre," - ")))</f>
        <v>7.9061685490877496</v>
      </c>
      <c r="AP21" s="981" t="str">
        <f>IF(ISNUMBER(Datos!CI21/Datos!CJ21),Datos!CI21/Datos!CJ21," - ")</f>
        <v xml:space="preserve"> - </v>
      </c>
      <c r="AQ21" s="981">
        <f>IF(OR(ISNUMBER(FIND("01",Criterios!A8,1)),ISNUMBER(FIND("02",Criterios!A8,1)),ISNUMBER(FIND("03",Criterios!A8,1)),ISNUMBER(FIND("04",Criterios!A8,1))),(J21-Y21+K21)/(F21-K21),(I21-Y21+K21)/(F21-K21))</f>
        <v>-0.62701084923307149</v>
      </c>
      <c r="AR21" s="981">
        <f>IF(ISNUMBER((Datos!P21-Datos!Q21+O21)/(Datos!R21-Datos!P21+Datos!Q21-O21)),(Datos!P21-Datos!Q21+O21)/(Datos!R21-Datos!P21+Datos!Q21-O21)," - ")</f>
        <v>-5.4118447923757661E-2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1099.2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1422.0137130140483</v>
      </c>
      <c r="G23" s="601">
        <f>IF(ISNUMBER(STDEV(G8:G20)),STDEV(G8:G20),"-")</f>
        <v>1309.4228499610047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145.41251665520406</v>
      </c>
      <c r="AK23" s="257"/>
      <c r="AL23" s="257">
        <f>IF(ISNUMBER(STDEV(AL8:AL20)),STDEV(AL8:AL20),"-")</f>
        <v>0</v>
      </c>
      <c r="AM23" s="259">
        <f>IF(ISNUMBER(STDEV(AM8:AM20)),STDEV(AM8:AM20),"-")</f>
        <v>0</v>
      </c>
      <c r="AN23" s="587">
        <f>IF(ISNUMBER(STDEV(AN8:AN20)),STDEV(AN8:AN20),"-")</f>
        <v>0</v>
      </c>
      <c r="AO23" s="588">
        <f>IF(ISNUMBER(STDEV(AO8:AO20)),STDEV(AO8:AO20),"-")</f>
        <v>2.8907604772884787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xAGhnERgTLJ5o6OitaBS1WknA7YyUH9OS/qDfttRvjdXDdcv/RE9wALMNL1xgnGcdCmU5qdlLMVm8aISnWIrg==" saltValue="B95P+eVRNf2d7+Hkehdg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50c27qRFBbG3JyRdHTOIfg4+MpqDwr7HR0U78qRHZsAcbBl9atQ6cT8TTVYByV1YfGgZrFGIOnf6j0UY/0Vew==" saltValue="D02yIwzekdjVWBmRl0e0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kdbc2NDSZ4r1eYpz7SGjW409FF3hVfMklHSdzOvuSfowiNaQilqooTMzE8UXCEGw90TZ4vfFGuUMtTQsyWX2A==" saltValue="1HjtkiRUdWTEL12iK8gO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ARENYS DE MAR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0.16053333333333333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0.11351420860648043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w7p7l6vrSdut4SWCuTjo/i/msxuqNMmpvzpCtg/uS7bIJ9lZgw6i2GGZQ/L28O/AJq1/sv3m6OLTXMJQsL2Ew==" saltValue="JrDr2BmskalYNWUo6tjG6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Gg8caOFg6mMqRajjBCcRrGIlP9+QH4LzMYJfxSigr5jw0c2yYljNSVWGfRgvy1RYxwXSlWbCvmsZIOdmWjoNw==" saltValue="jXNNhqgMzivTeEPfP2om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ARENYS DE MAR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111</v>
      </c>
      <c r="D10" s="416">
        <f>IF(ISNUMBER(C10/Datos!BH10),C10/Datos!BH10," - ")</f>
        <v>111</v>
      </c>
      <c r="E10" s="415">
        <f>IF(ISNUMBER(Datos!J10),Datos!J10," - ")</f>
        <v>36</v>
      </c>
      <c r="F10" s="416">
        <f>IF(ISNUMBER(E10/B10),E10/B10," - ")</f>
        <v>36</v>
      </c>
      <c r="G10" s="415">
        <f>IF(ISNUMBER(Datos!K10),Datos!K10," - ")</f>
        <v>0</v>
      </c>
      <c r="H10" s="416">
        <f>IF(ISNUMBER(G10/B10),G10/B10," - ")</f>
        <v>0</v>
      </c>
      <c r="I10" s="415">
        <f>IF(ISNUMBER(Datos!L10),Datos!L10," - ")</f>
        <v>141</v>
      </c>
      <c r="J10" s="416">
        <f>IF(ISNUMBER(I10/B10),I10/B10," - ")</f>
        <v>141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6823</v>
      </c>
      <c r="D12" s="416">
        <f>IF(ISNUMBER(C12/Datos!BH12),C12/Datos!BH12," - ")</f>
        <v>852.875</v>
      </c>
      <c r="E12" s="415">
        <f>IF(ISNUMBER(IF(J_V="SI",Datos!J12,Datos!J12+Datos!Z12)),IF(J_V="SI",Datos!J12,Datos!J12+Datos!Z12)," - ")</f>
        <v>1128</v>
      </c>
      <c r="F12" s="416">
        <f>IF(ISNUMBER(E12/B12),E12/B12," - ")</f>
        <v>141</v>
      </c>
      <c r="G12" s="415">
        <f>IF(ISNUMBER(IF(J_V="SI",Datos!K12,Datos!K12+Datos!AA12)),IF(J_V="SI",Datos!K12,Datos!K12+Datos!AA12)," - ")</f>
        <v>1875</v>
      </c>
      <c r="H12" s="416">
        <f>IF(ISNUMBER(G12/B12),G12/B12," - ")</f>
        <v>234.375</v>
      </c>
      <c r="I12" s="415">
        <f>IF(ISNUMBER(IF(J_V="SI",Datos!L12,Datos!L12+Datos!AB12)),IF(J_V="SI",Datos!L12,Datos!L12+Datos!AB12)," - ")</f>
        <v>6076</v>
      </c>
      <c r="J12" s="416">
        <f>IF(ISNUMBER(I12/B12),I12/B12," - ")</f>
        <v>759.5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6934</v>
      </c>
      <c r="D14" s="997" t="str">
        <f>IF(ISNUMBER(C14/Datos!BI14),C14/Datos!BI14," - ")</f>
        <v xml:space="preserve"> - </v>
      </c>
      <c r="E14" s="996">
        <f>SUBTOTAL(9,E8:E13)</f>
        <v>1164</v>
      </c>
      <c r="F14" s="997">
        <f>IF(ISNUMBER(E14/B14),E14/B14," - ")</f>
        <v>145.5</v>
      </c>
      <c r="G14" s="996">
        <f>SUBTOTAL(9,G8:G13)</f>
        <v>1875</v>
      </c>
      <c r="H14" s="997">
        <f>IF(ISNUMBER(G14/B14),G14/B14," - ")</f>
        <v>234.375</v>
      </c>
      <c r="I14" s="996">
        <f>SUBTOTAL(9,I8:I13)</f>
        <v>6217</v>
      </c>
      <c r="J14" s="997">
        <f>IF(ISNUMBER(I14/B14),I14/B14," - ")</f>
        <v>777.125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2424</v>
      </c>
      <c r="D17" s="416">
        <f>IF(ISNUMBER(C17/Datos!BH17),C17/Datos!BH17," - ")</f>
        <v>303</v>
      </c>
      <c r="E17" s="415">
        <f>IF(ISNUMBER(IF(D_I="SI",Datos!J17,Datos!J17+Datos!AD17)),IF(D_I="SI",Datos!J17,Datos!J17+Datos!AD17)," - ")</f>
        <v>1760</v>
      </c>
      <c r="F17" s="416">
        <f>IF(ISNUMBER(E17/B17),E17/B17," - ")</f>
        <v>220</v>
      </c>
      <c r="G17" s="415">
        <f>IF(ISNUMBER(IF(D_I="SI",Datos!K17,Datos!K17+Datos!AE17)),IF(D_I="SI",Datos!K17,Datos!K17+Datos!AE17)," - ")</f>
        <v>1591</v>
      </c>
      <c r="H17" s="416">
        <f>IF(ISNUMBER(G17/B17),G17/B17," - ")</f>
        <v>198.875</v>
      </c>
      <c r="I17" s="415">
        <f>IF(ISNUMBER(IF(D_I="SI",Datos!L17,Datos!L17+Datos!AF17)),IF(D_I="SI",Datos!L17,Datos!L17+Datos!AF17)," - ")</f>
        <v>2737</v>
      </c>
      <c r="J17" s="416">
        <f>IF(ISNUMBER(I17/B17),I17/B17," - ")</f>
        <v>342.125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213</v>
      </c>
      <c r="D18" s="416">
        <f>IF(ISNUMBER(C18/Datos!BH18),C18/Datos!BH18," - ")</f>
        <v>213</v>
      </c>
      <c r="E18" s="415">
        <f>IF(ISNUMBER(IF(D_I="SI",Datos!J18,Datos!J18+Datos!AD18)),IF(D_I="SI",Datos!J18,Datos!J18+Datos!AD18)," - ")</f>
        <v>201</v>
      </c>
      <c r="F18" s="416">
        <f>IF(ISNUMBER(E18/B18),E18/B18," - ")</f>
        <v>201</v>
      </c>
      <c r="G18" s="415">
        <f>IF(ISNUMBER(IF(D_I="SI",Datos!K18,Datos!K18+Datos!AE18)),IF(D_I="SI",Datos!K18,Datos!K18+Datos!AE18)," - ")</f>
        <v>85</v>
      </c>
      <c r="H18" s="416">
        <f>IF(ISNUMBER(G18/B18),G18/B18," - ")</f>
        <v>85</v>
      </c>
      <c r="I18" s="415">
        <f>IF(ISNUMBER(IF(D_I="SI",Datos!L18,Datos!L18+Datos!AF18)),IF(D_I="SI",Datos!L18,Datos!L18+Datos!AF18)," - ")</f>
        <v>329</v>
      </c>
      <c r="J18" s="416">
        <f>IF(ISNUMBER(I18/B18),I18/B18," - ")</f>
        <v>329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2637</v>
      </c>
      <c r="D20" s="997" t="str">
        <f>IF(ISNUMBER(C20/Datos!BI20),C20/Datos!BI20," - ")</f>
        <v xml:space="preserve"> - </v>
      </c>
      <c r="E20" s="996">
        <f>SUBTOTAL(9,E15:E19)</f>
        <v>1961</v>
      </c>
      <c r="F20" s="997">
        <f>IF(ISNUMBER(E20/B20),E20/B20," - ")</f>
        <v>245.125</v>
      </c>
      <c r="G20" s="996">
        <f>SUBTOTAL(9,G15:G19)</f>
        <v>1676</v>
      </c>
      <c r="H20" s="997">
        <f>IF(ISNUMBER(G20/B20),G20/B20," - ")</f>
        <v>209.5</v>
      </c>
      <c r="I20" s="996">
        <f>SUBTOTAL(9,I15:I19)</f>
        <v>3066</v>
      </c>
      <c r="J20" s="997">
        <f>IF(ISNUMBER(I20/B20),I20/B20," - ")</f>
        <v>383.25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9571</v>
      </c>
      <c r="D21" s="942" t="str">
        <f>IF(ISNUMBER(C21/Datos!BI21),C21/Datos!BI21," - ")</f>
        <v xml:space="preserve"> - </v>
      </c>
      <c r="E21" s="941">
        <f>SUBTOTAL(9,E9:E20)</f>
        <v>3125</v>
      </c>
      <c r="F21" s="942">
        <f>IF(ISNUMBER(E21/B21),E21/B21," - ")</f>
        <v>390.625</v>
      </c>
      <c r="G21" s="941">
        <f>SUBTOTAL(9,G9:G20)</f>
        <v>3551</v>
      </c>
      <c r="H21" s="942">
        <f>IF(ISNUMBER(G21/B21),G21/B21," - ")</f>
        <v>443.875</v>
      </c>
      <c r="I21" s="941">
        <f>SUBTOTAL(9,I9:I20)</f>
        <v>9283</v>
      </c>
      <c r="J21" s="942">
        <f>IF(ISNUMBER(I21/B21),I21/B21," - ")</f>
        <v>1160.375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I2tWVjzf2un3b5RBrTffIHb6an9r801Zd3b4Cfq05W2OH5bsiwN+RlSrT7T+mvqRRO+yqxV+8wEA+QV8pfwQA==" saltValue="fpUC8iGXbGVqp568nQVmL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ARENYS DE MAR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105</v>
      </c>
      <c r="G10" s="803">
        <f>IF(ISNUMBER(Datos!I10),Datos!I10," - ")</f>
        <v>111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9</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141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213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723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7766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301</v>
      </c>
      <c r="AM12" s="811">
        <f>IF(ISNUMBER(Datos!N12+DatosP!N17),Datos!N12+DatosP!N17," - ")</f>
        <v>944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9.7216000000000005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-6.1623972933784438E-2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105</v>
      </c>
      <c r="G14" s="1085">
        <f t="shared" si="0"/>
        <v>111</v>
      </c>
      <c r="H14" s="1085">
        <f t="shared" si="0"/>
        <v>0</v>
      </c>
      <c r="I14" s="1087">
        <f t="shared" si="0"/>
        <v>0</v>
      </c>
      <c r="J14" s="1086">
        <f t="shared" si="0"/>
        <v>0</v>
      </c>
      <c r="K14" s="1086">
        <f t="shared" si="0"/>
        <v>0</v>
      </c>
      <c r="L14" s="1088">
        <f t="shared" si="0"/>
        <v>0</v>
      </c>
      <c r="M14" s="1088">
        <f t="shared" si="0"/>
        <v>0</v>
      </c>
      <c r="N14" s="1086">
        <f t="shared" si="0"/>
        <v>222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723</v>
      </c>
      <c r="AE14" s="1086">
        <f t="shared" si="1"/>
        <v>0</v>
      </c>
      <c r="AF14" s="1086">
        <f t="shared" si="1"/>
        <v>141</v>
      </c>
      <c r="AG14" s="1086">
        <f t="shared" si="1"/>
        <v>0</v>
      </c>
      <c r="AH14" s="1086">
        <f t="shared" si="1"/>
        <v>7766</v>
      </c>
      <c r="AI14" s="1086">
        <f t="shared" si="1"/>
        <v>0</v>
      </c>
      <c r="AJ14" s="1086">
        <f t="shared" si="1"/>
        <v>0</v>
      </c>
      <c r="AK14" s="1086">
        <f t="shared" si="1"/>
        <v>0</v>
      </c>
      <c r="AL14" s="1086">
        <f t="shared" si="1"/>
        <v>301</v>
      </c>
      <c r="AM14" s="1086">
        <f t="shared" si="1"/>
        <v>944</v>
      </c>
      <c r="AN14" s="1086">
        <f t="shared" si="1"/>
        <v>0</v>
      </c>
      <c r="AO14" s="1086">
        <f t="shared" si="1"/>
        <v>0</v>
      </c>
      <c r="AP14" s="1091">
        <f>IF(ISNUMBER(((Datos!L14/Datos!K14)*11)/factor_trimestre),((Datos!L14/Datos!K14)*11)/factor_trimestre," - ")</f>
        <v>10.186831738885763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-6.1623972933784438E-2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5.4880668257756566</v>
      </c>
      <c r="AQ20" s="1091">
        <f>IF(ISNUMBER(((Datos!M20/Datos!L20)*11)/factor_trimestre),((Datos!M20/Datos!L20)*11)/factor_trimestre," - ")</f>
        <v>0.25146771037181997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6.5040650406504072E-2</v>
      </c>
      <c r="AW20" s="1093">
        <f>IF(ISNUMBER((Datos!Q20-Datos!R20)/(Datos!S20-Datos!Q20+Datos!R20)),(Datos!Q20-Datos!R20)/(Datos!S20-Datos!Q20+Datos!R20)," - ")</f>
        <v>-0.10771470160116449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105</v>
      </c>
      <c r="G21" s="1098">
        <f t="shared" si="4"/>
        <v>111</v>
      </c>
      <c r="H21" s="1098">
        <f t="shared" si="4"/>
        <v>0</v>
      </c>
      <c r="I21" s="1099">
        <f t="shared" si="4"/>
        <v>0</v>
      </c>
      <c r="J21" s="1100">
        <f t="shared" si="4"/>
        <v>0</v>
      </c>
      <c r="K21" s="1100">
        <f t="shared" si="4"/>
        <v>0</v>
      </c>
      <c r="L21" s="1100">
        <f t="shared" si="4"/>
        <v>0</v>
      </c>
      <c r="M21" s="1100">
        <f t="shared" si="4"/>
        <v>0</v>
      </c>
      <c r="N21" s="1099">
        <f t="shared" si="4"/>
        <v>222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723</v>
      </c>
      <c r="AE21" s="1104">
        <f t="shared" si="5"/>
        <v>0</v>
      </c>
      <c r="AF21" s="1105">
        <f t="shared" si="5"/>
        <v>141</v>
      </c>
      <c r="AG21" s="1105">
        <f t="shared" si="5"/>
        <v>0</v>
      </c>
      <c r="AH21" s="1105">
        <f t="shared" si="5"/>
        <v>7766</v>
      </c>
      <c r="AI21" s="1105">
        <f t="shared" si="5"/>
        <v>0</v>
      </c>
      <c r="AJ21" s="1106">
        <f t="shared" si="5"/>
        <v>0</v>
      </c>
      <c r="AK21" s="1106">
        <f t="shared" si="5"/>
        <v>0</v>
      </c>
      <c r="AL21" s="1098">
        <f t="shared" si="5"/>
        <v>301</v>
      </c>
      <c r="AM21" s="1098">
        <f t="shared" si="5"/>
        <v>944</v>
      </c>
      <c r="AN21" s="1098">
        <f t="shared" si="5"/>
        <v>0</v>
      </c>
      <c r="AO21" s="1098">
        <f t="shared" si="5"/>
        <v>0</v>
      </c>
      <c r="AP21" s="1098">
        <f>IF(ISNUMBER(((Datos!L21/Datos!K21)*11)/factor_trimestre),((Datos!L21/Datos!K21)*11)/factor_trimestre," - ")</f>
        <v>7.9061685490877496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-5.4118447923757661E-2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3.9036002917941328</v>
      </c>
      <c r="F23" s="870">
        <f>IF(ISNUMBER(STDEV(F8:F20)),STDEV(F8:F20),"-")</f>
        <v>60.621778264910702</v>
      </c>
      <c r="G23" s="871">
        <f>IF(ISNUMBER(STDEV(G8:G20)),STDEV(G8:G20),"-")</f>
        <v>64.085879880048466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173.78243102607735</v>
      </c>
      <c r="AM23" s="870"/>
      <c r="AN23" s="870">
        <f>IF(ISNUMBER(STDEV(AN8:AN20)),STDEV(AN8:AN20),"-")</f>
        <v>0</v>
      </c>
      <c r="AO23" s="876">
        <f>IF(ISNUMBER(STDEV(AO8:AO20)),STDEV(AO8:AO20),"-")</f>
        <v>0</v>
      </c>
      <c r="AP23" s="923">
        <f>IF(ISNUMBER(STDEV(AP8:AP20)),STDEV(AP8:AP20),"-")</f>
        <v>2.5890035218464247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4kwzV1R5+jezMxxliD33w1LilmFzcUjBZnB/70XoUSwZ24OlhNaBo03jYK06WhW2+8F7JvFj8aHVxGgmvtRp5w==" saltValue="Dweqh8ltQLWWzhqB3ov3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ARENYS DE MAR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BJW6FWuar6RY2JOaY9qhcVic7RL6REO2QpRu7qiE2kQfkILqUhAChnFDLFORsElcs+1zB/n6FfG2Qsp/hGzMA==" saltValue="9p7zcVl42Jx8gFVvbvogT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ARENYS DE MAR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301</v>
      </c>
      <c r="E12" s="416">
        <f t="shared" si="0"/>
        <v>37.625</v>
      </c>
      <c r="F12" s="415">
        <f>IF(ISNUMBER(Datos!N12),Datos!N12," - ")</f>
        <v>944</v>
      </c>
      <c r="G12" s="416">
        <f t="shared" si="1"/>
        <v>118</v>
      </c>
      <c r="H12" s="415">
        <f>IF(ISNUMBER(Datos!O12),Datos!O12," - ")</f>
        <v>781</v>
      </c>
      <c r="I12" s="416">
        <f t="shared" si="2"/>
        <v>97.625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8</v>
      </c>
      <c r="D14" s="996">
        <f>SUBTOTAL(9,D9:D13)</f>
        <v>301</v>
      </c>
      <c r="E14" s="997">
        <f t="shared" si="0"/>
        <v>33.444444444444443</v>
      </c>
      <c r="F14" s="996">
        <f>SUBTOTAL(9,F9:F13)</f>
        <v>944</v>
      </c>
      <c r="G14" s="997">
        <f t="shared" si="1"/>
        <v>104.88888888888889</v>
      </c>
      <c r="H14" s="996">
        <f>SUBTOTAL(9,H9:H13)</f>
        <v>781</v>
      </c>
      <c r="I14" s="997">
        <f>IF(ISNUMBER(H14/B14),H14/B14," - ")</f>
        <v>86.777777777777771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257</v>
      </c>
      <c r="E17" s="416">
        <f t="shared" si="3"/>
        <v>32.125</v>
      </c>
      <c r="F17" s="415">
        <f>IF(ISNUMBER(Datos!N17),Datos!N17," - ")</f>
        <v>793</v>
      </c>
      <c r="G17" s="416">
        <f t="shared" si="4"/>
        <v>99.125</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0</v>
      </c>
      <c r="G18" s="416">
        <f>IF(ISNUMBER(F18/B18),F18/B18," - ")</f>
        <v>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8</v>
      </c>
      <c r="D20" s="996">
        <f>SUBTOTAL(9,D16:D19)</f>
        <v>257</v>
      </c>
      <c r="E20" s="997">
        <f t="shared" si="3"/>
        <v>28.555555555555557</v>
      </c>
      <c r="F20" s="996">
        <f>SUBTOTAL(9,F16:F19)</f>
        <v>793</v>
      </c>
      <c r="G20" s="997">
        <f t="shared" si="4"/>
        <v>88.111111111111114</v>
      </c>
      <c r="H20" s="996">
        <f>SUBTOTAL(9,H16:H19)</f>
        <v>0</v>
      </c>
      <c r="I20" s="997">
        <f>IF(ISNUMBER(H20/B20),H20/B20," - ")</f>
        <v>0</v>
      </c>
    </row>
    <row r="21" spans="1:9" ht="14.25" thickTop="1" thickBot="1">
      <c r="A21" s="940" t="str">
        <f>Datos!A21</f>
        <v>TOTAL JURISDICCIONES</v>
      </c>
      <c r="B21" s="941">
        <f>Datos!AP21</f>
        <v>8</v>
      </c>
      <c r="C21" s="941">
        <f>Datos!AR21</f>
        <v>8</v>
      </c>
      <c r="D21" s="941">
        <f>SUBTOTAL(9,D8:D20)</f>
        <v>558</v>
      </c>
      <c r="E21" s="942">
        <f>IF(ISNUMBER(D21/B21),D21/B21," - ")</f>
        <v>69.75</v>
      </c>
      <c r="F21" s="941">
        <f>SUBTOTAL(9,F8:F20)</f>
        <v>1737</v>
      </c>
      <c r="G21" s="942">
        <f>IF(ISNUMBER(F21/B21),F21/B21," - ")</f>
        <v>217.125</v>
      </c>
      <c r="H21" s="941">
        <f>SUBTOTAL(9,H8:H20)</f>
        <v>781</v>
      </c>
      <c r="I21" s="942">
        <f>IF(ISNUMBER(H21/B21),H21/B21," - ")</f>
        <v>97.625</v>
      </c>
    </row>
    <row r="24" spans="1:9">
      <c r="A24" s="403" t="str">
        <f>Criterios!A4</f>
        <v>Fecha Informe: 06 jun. 2023</v>
      </c>
    </row>
    <row r="29" spans="1:9">
      <c r="A29" s="426"/>
    </row>
  </sheetData>
  <sheetProtection algorithmName="SHA-512" hashValue="a5qTS6JqKZr6TW1XrShFKzZIWSh3u9KPOQP2p6Sk8T+7406DkJElFpBCXcMLtelml/WepT7T8R9HJdymnCd8Dw==" saltValue="hcESFBbX8nYv/PAJMKWJ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ARENYS DE MAR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9</v>
      </c>
      <c r="C10" s="451">
        <f>IF(ISNUMBER(Datos!Q10),Datos!Q10," - ")</f>
        <v>0</v>
      </c>
      <c r="D10" s="420">
        <f>IF(ISNUMBER(Datos!R10),Datos!R10," - ")</f>
        <v>178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213</v>
      </c>
      <c r="C12" s="451">
        <f>IF(ISNUMBER(Datos!Q12),Datos!Q12," - ")</f>
        <v>723</v>
      </c>
      <c r="D12" s="420">
        <f>IF(ISNUMBER(Datos!R12),Datos!R12," - ")</f>
        <v>7766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222</v>
      </c>
      <c r="C14" s="1000">
        <f>SUBTOTAL(9,C9:C13)</f>
        <v>723</v>
      </c>
      <c r="D14" s="998">
        <f>SUBTOTAL(9,D9:D13)</f>
        <v>7944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47</v>
      </c>
      <c r="C17" s="451">
        <f>IF(ISNUMBER(Datos!Q17),Datos!Q17," - ")</f>
        <v>23</v>
      </c>
      <c r="D17" s="420">
        <f>IF(ISNUMBER(Datos!R17),Datos!R17," - ")</f>
        <v>393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47</v>
      </c>
      <c r="C20" s="1000">
        <f>SUBTOTAL(9,C16:C19)</f>
        <v>23</v>
      </c>
      <c r="D20" s="998">
        <f>SUBTOTAL(9,D16:D19)</f>
        <v>393</v>
      </c>
    </row>
    <row r="21" spans="1:4" ht="16.5" customHeight="1" thickTop="1" thickBot="1">
      <c r="A21" s="940" t="str">
        <f>Datos!A21</f>
        <v>TOTAL JURISDICCIONES</v>
      </c>
      <c r="B21" s="945">
        <f>SUBTOTAL(9,B8:B20)</f>
        <v>269</v>
      </c>
      <c r="C21" s="946">
        <f>SUBTOTAL(9,C8:C20)</f>
        <v>746</v>
      </c>
      <c r="D21" s="947">
        <f>SUBTOTAL(9,D8:D20)</f>
        <v>8337</v>
      </c>
    </row>
    <row r="22" spans="1:4" ht="7.5" customHeight="1"/>
    <row r="23" spans="1:4" ht="6" customHeight="1"/>
    <row r="24" spans="1:4">
      <c r="A24" s="403" t="str">
        <f>Criterios!A4</f>
        <v>Fecha Informe: 06 jun. 2023</v>
      </c>
    </row>
    <row r="29" spans="1:4">
      <c r="A29" s="426"/>
    </row>
  </sheetData>
  <sheetProtection algorithmName="SHA-512" hashValue="xkErwMK41US4pkE0EXalLv3Ttykx386AZpk57odtXFLlOxz48yV5jXLjb4EEC9yPsjaaKYCUb7jPzL8L+PPJLg==" saltValue="SxBJtjSwOaO9sX8YSFWe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ARENYS DE MAR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0.20652173913043478</v>
      </c>
      <c r="C10" s="473">
        <f>IF(ISNUMBER((Datos!J10-Datos!T10)/Datos!T10),(Datos!J10-Datos!T10)/Datos!T10," - ")</f>
        <v>0.33333333333333331</v>
      </c>
      <c r="D10" s="473">
        <f>IF(ISNUMBER((Datos!K10-Datos!U10)/Datos!U10),(Datos!K10-Datos!U10)/Datos!U10," - ")</f>
        <v>-1</v>
      </c>
      <c r="E10" s="473">
        <f>IF(ISNUMBER((Datos!L10-Datos!V10)/Datos!V10),(Datos!L10-Datos!V10)/Datos!V10," - ")</f>
        <v>0.5161290322580645</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7.5334909377462567E-2</v>
      </c>
      <c r="C12" s="473">
        <f>IF(ISNUMBER(
   IF(J_V="SI",(Datos!J12-Datos!T12)/Datos!T12,(Datos!J12+Datos!Z12-(Datos!T12+Datos!AH12))/(Datos!T12+Datos!AH12))
     ),IF(J_V="SI",(Datos!J12-Datos!T12)/Datos!T12,(Datos!J12+Datos!Z12-(Datos!T12+Datos!AH12))/(Datos!T12+Datos!AH12))," - ")</f>
        <v>-0.52465233881163087</v>
      </c>
      <c r="D12" s="473">
        <f>IF(ISNUMBER(
   IF(J_V="SI",(Datos!K12-Datos!U12)/Datos!U12,(Datos!K12+Datos!AA12-(Datos!U12+Datos!AI12))/(Datos!U12+Datos!AI12))
     ),IF(J_V="SI",(Datos!K12-Datos!U12)/Datos!U12,(Datos!K12+Datos!AA12-(Datos!U12+Datos!AI12))/(Datos!U12+Datos!AI12))," - ")</f>
        <v>-4.4829342842587876E-2</v>
      </c>
      <c r="E12" s="473">
        <f>IF(ISNUMBER(
   IF(J_V="SI",(Datos!L12-Datos!V12)/Datos!V12,(Datos!L12+Datos!AB12-(Datos!V12+Datos!AJ12))/(Datos!V12+Datos!AJ12))
     ),IF(J_V="SI",(Datos!L12-Datos!V12)/Datos!V12,(Datos!L12+Datos!AB12-(Datos!V12+Datos!AJ12))/(Datos!V12+Datos!AJ12))," - ")</f>
        <v>-8.3283041641520825E-2</v>
      </c>
      <c r="F12" s="473">
        <f>IF(ISNUMBER((Datos!M12-Datos!W12)/Datos!W12),(Datos!M12-Datos!W12)/Datos!W12," - ")</f>
        <v>0</v>
      </c>
      <c r="G12" s="474">
        <f>IF(ISNUMBER((Datos!N12-Datos!X12)/Datos!X12),(Datos!N12-Datos!X12)/Datos!X12," - ")</f>
        <v>3.5087719298245612E-2</v>
      </c>
      <c r="H12" s="472">
        <f>IF(ISNUMBER(((NºAsuntos!G12/NºAsuntos!E12)-Datos!BD12)/Datos!BD12),((NºAsuntos!G12/NºAsuntos!E12)-Datos!BD12)/Datos!BD12," - ")</f>
        <v>1.0094148665199811</v>
      </c>
      <c r="I12" s="473">
        <f>IF(ISNUMBER(((NºAsuntos!I12/NºAsuntos!G12)-Datos!BE12)/Datos!BE12),((NºAsuntos!I12/NºAsuntos!G12)-Datos!BE12)/Datos!BE12," - ")</f>
        <v>-4.0258459062562799E-2</v>
      </c>
      <c r="J12" s="478">
        <f>IF(ISNUMBER((('Resol  Asuntos'!D12/NºAsuntos!G12)-Datos!BF12)/Datos!BF12),(('Resol  Asuntos'!D12/NºAsuntos!G12)-Datos!BF12)/Datos!BF12," - ")</f>
        <v>-0.65446608187134492</v>
      </c>
      <c r="K12" s="479">
        <f>IF(ISNUMBER((((NºAsuntos!C12+NºAsuntos!E12)/NºAsuntos!G12)-Datos!BG12)/Datos!BG12),(((NºAsuntos!C12+NºAsuntos!E12)/NºAsuntos!G12)-Datos!BG12)/Datos!BG12," - ")</f>
        <v>-4.5174703678213628E-2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7.7209880379058571E-2</v>
      </c>
      <c r="C14" s="1002">
        <f>IF(ISNUMBER(
   IF(J_V="SI",(Datos!J14-Datos!T14)/Datos!T14,(Datos!J14+Datos!Z14-(Datos!T14+Datos!AH14))/(Datos!T14+Datos!AH14))
     ),IF(J_V="SI",(Datos!J14-Datos!T14)/Datos!T14,(Datos!J14+Datos!Z14-(Datos!T14+Datos!AH14))/(Datos!T14+Datos!AH14))," - ")</f>
        <v>-0.51500000000000001</v>
      </c>
      <c r="D14" s="1002">
        <f>IF(ISNUMBER(
   IF(J_V="SI",(Datos!K14-Datos!U14)/Datos!U14,(Datos!K14+Datos!AA14-(Datos!U14+Datos!AI14))/(Datos!U14+Datos!AI14))
     ),IF(J_V="SI",(Datos!K14-Datos!U14)/Datos!U14,(Datos!K14+Datos!AA14-(Datos!U14+Datos!AI14))/(Datos!U14+Datos!AI14))," - ")</f>
        <v>-5.7315233785822019E-2</v>
      </c>
      <c r="E14" s="1002">
        <f>IF(ISNUMBER(
   IF(J_V="SI",(Datos!L14-Datos!V14)/Datos!V14,(Datos!L14+Datos!AB14-(Datos!V14+Datos!AJ14))/(Datos!V14+Datos!AJ14))
     ),IF(J_V="SI",(Datos!L14-Datos!V14)/Datos!V14,(Datos!L14+Datos!AB14-(Datos!V14+Datos!AJ14))/(Datos!V14+Datos!AJ14))," - ")</f>
        <v>-7.4988840946287758E-2</v>
      </c>
      <c r="F14" s="1003">
        <f>IF(ISNUMBER((Datos!M14-Datos!W14)/Datos!W14),(Datos!M14-Datos!W14)/Datos!W14," - ")</f>
        <v>-3.5256410256410256E-2</v>
      </c>
      <c r="G14" s="1004">
        <f>IF(ISNUMBER((Datos!N14-Datos!X14)/Datos!X14),(Datos!N14-Datos!X14)/Datos!X14," - ")</f>
        <v>2.720348204570185E-2</v>
      </c>
      <c r="H14" s="1004">
        <f>IF(ISNUMBER(((NºAsuntos!G14/NºAsuntos!E14)-Datos!BD14)/Datos!BD14),((NºAsuntos!G14/NºAsuntos!E14)-Datos!BD14)/Datos!BD14," - ")</f>
        <v>0.94367993033851139</v>
      </c>
      <c r="I14" s="1004">
        <f>IF(ISNUMBER(((NºAsuntos!I14/NºAsuntos!G14)-Datos!BE14)/Datos!BE14),((NºAsuntos!I14/NºAsuntos!G14)-Datos!BE14)/Datos!BE14," - ")</f>
        <v>-1.8748162475822085E-2</v>
      </c>
      <c r="J14" s="1004">
        <f>IF(ISNUMBER((('Resol  Asuntos'!D14/NºAsuntos!G14)-Datos!BF14)/Datos!BF14),(('Resol  Asuntos'!D14/NºAsuntos!G14)-Datos!BF14)/Datos!BF14," - ")</f>
        <v>-0.65406197183098602</v>
      </c>
      <c r="K14" s="1004">
        <f>IF(ISNUMBER((((NºAsuntos!C14+NºAsuntos!E14)/NºAsuntos!G14)-Datos!BG14)/Datos!BG14),(((NºAsuntos!C14+NºAsuntos!E14)/NºAsuntos!G14)-Datos!BG14)/Datos!BG14," - ")</f>
        <v>-2.7910105239334571E-2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-0.14647887323943662</v>
      </c>
      <c r="C17" s="473">
        <f>IF(ISNUMBER(
   IF(D_I="SI",(Datos!J17-Datos!T17)/Datos!T17,(Datos!J17+Datos!AD17-(Datos!T17+Datos!AL17))/(Datos!T17+Datos!AL17))
     ),IF(D_I="SI",(Datos!J17-Datos!T17)/Datos!T17,(Datos!J17+Datos!AD17-(Datos!T17+Datos!AL17))/(Datos!T17+Datos!AL17))," - ")</f>
        <v>-2.9233314947600661E-2</v>
      </c>
      <c r="D17" s="473">
        <f>IF(ISNUMBER(
   IF(D_I="SI",(Datos!K17-Datos!U17)/Datos!U17,(Datos!K17+Datos!AE17-(Datos!U17+Datos!AM17))/(Datos!U17+Datos!AM17))
     ),IF(D_I="SI",(Datos!K17-Datos!U17)/Datos!U17,(Datos!K17+Datos!AE17-(Datos!U17+Datos!AM17))/(Datos!U17+Datos!AM17))," - ")</f>
        <v>-0.21237623762376237</v>
      </c>
      <c r="E17" s="473">
        <f>IF(ISNUMBER(
   IF(D_I="SI",(Datos!L17-Datos!V17)/Datos!V17,(Datos!L17+Datos!AF17-(Datos!V17+Datos!AN17))/(Datos!V17+Datos!AN17))
     ),IF(D_I="SI",(Datos!L17-Datos!V17)/Datos!V17,(Datos!L17+Datos!AF17-(Datos!V17+Datos!AN17))/(Datos!V17+Datos!AN17))," - ")</f>
        <v>3.9104024297646166E-2</v>
      </c>
      <c r="F17" s="473">
        <f>IF(ISNUMBER((Datos!M17-Datos!W17)/Datos!W17),(Datos!M17-Datos!W17)/Datos!W17," - ")</f>
        <v>-0.2614942528735632</v>
      </c>
      <c r="G17" s="474">
        <f>IF(ISNUMBER((Datos!N17-Datos!X17)/Datos!X17),(Datos!N17-Datos!X17)/Datos!X17," - ")</f>
        <v>-0.22709551656920077</v>
      </c>
      <c r="H17" s="472">
        <f>IF(ISNUMBER(((NºAsuntos!G17/NºAsuntos!E17)-Datos!BD17)/Datos!BD17),((NºAsuntos!G17/NºAsuntos!E17)-Datos!BD17)/Datos!BD17," - ")</f>
        <v>-0.18865802205220519</v>
      </c>
      <c r="I17" s="473">
        <f>IF(ISNUMBER(((NºAsuntos!I17/NºAsuntos!G17)-Datos!BE17)/Datos!BE17),((NºAsuntos!I17/NºAsuntos!G17)-Datos!BE17)/Datos!BE17," - ")</f>
        <v>0.3192898360032968</v>
      </c>
      <c r="J17" s="478">
        <f>IF(ISNUMBER((('Resol  Asuntos'!D17/NºAsuntos!G17)-Datos!BF17)/Datos!BF17),(('Resol  Asuntos'!D17/NºAsuntos!G17)-Datos!BF17)/Datos!BF17," - ")</f>
        <v>-6.2362282089627609E-2</v>
      </c>
      <c r="K17" s="479">
        <f>IF(ISNUMBER((((NºAsuntos!C17+NºAsuntos!E17)/NºAsuntos!G17)-Datos!BG17)/Datos!BG17),(((NºAsuntos!C17+NºAsuntos!E17)/NºAsuntos!G17)-Datos!BG17)/Datos!BG17," - ")</f>
        <v>0.14166796007468932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-5.3333333333333337E-2</v>
      </c>
      <c r="C18" s="473">
        <f>IF(ISNUMBER(
   IF(D_I="SI",(Datos!J18-Datos!T18)/Datos!T18,(Datos!J18+Datos!AD18-(Datos!T18+Datos!AL18))/(Datos!T18+Datos!AL18))
     ),IF(D_I="SI",(Datos!J18-Datos!T18)/Datos!T18,(Datos!J18+Datos!AD18-(Datos!T18+Datos!AL18))/(Datos!T18+Datos!AL18))," - ")</f>
        <v>-0.18623481781376519</v>
      </c>
      <c r="D18" s="473">
        <f>IF(ISNUMBER(
   IF(D_I="SI",(Datos!K18-Datos!U18)/Datos!U18,(Datos!K18+Datos!AE18-(Datos!U18+Datos!AM18))/(Datos!U18+Datos!AM18))
     ),IF(D_I="SI",(Datos!K18-Datos!U18)/Datos!U18,(Datos!K18+Datos!AE18-(Datos!U18+Datos!AM18))/(Datos!U18+Datos!AM18))," - ")</f>
        <v>-0.66535433070866146</v>
      </c>
      <c r="E18" s="473">
        <f>IF(ISNUMBER(
   IF(D_I="SI",(Datos!L18-Datos!V18)/Datos!V18,(Datos!L18+Datos!AF18-(Datos!V18+Datos!AN18))/(Datos!V18+Datos!AN18))
     ),IF(D_I="SI",(Datos!L18-Datos!V18)/Datos!V18,(Datos!L18+Datos!AF18-(Datos!V18+Datos!AN18))/(Datos!V18+Datos!AN18))," - ")</f>
        <v>0.50228310502283102</v>
      </c>
      <c r="F18" s="473">
        <f>IF(ISNUMBER((Datos!M18-Datos!W18)/Datos!W18),(Datos!M18-Datos!W18)/Datos!W18," - ")</f>
        <v>-1</v>
      </c>
      <c r="G18" s="474">
        <f>IF(ISNUMBER((Datos!N18-Datos!X18)/Datos!X18),(Datos!N18-Datos!X18)/Datos!X18," - ")</f>
        <v>-1</v>
      </c>
      <c r="H18" s="472">
        <f>IF(ISNUMBER(((NºAsuntos!G18/NºAsuntos!E18)-Datos!BD18)/Datos!BD18),((NºAsuntos!G18/NºAsuntos!E18)-Datos!BD18)/Datos!BD18," - ")</f>
        <v>-0.58876875465193712</v>
      </c>
      <c r="I18" s="473">
        <f>IF(ISNUMBER(((NºAsuntos!I18/NºAsuntos!G18)-Datos!BE18)/Datos!BE18),((NºAsuntos!I18/NºAsuntos!G18)-Datos!BE18)/Datos!BE18," - ")</f>
        <v>3.4891753961858716</v>
      </c>
      <c r="J18" s="478">
        <f>IF(ISNUMBER((('Resol  Asuntos'!D18/NºAsuntos!G18)-Datos!BF18)/Datos!BF18),(('Resol  Asuntos'!D18/NºAsuntos!G18)-Datos!BF18)/Datos!BF18," - ")</f>
        <v>-1</v>
      </c>
      <c r="K18" s="479">
        <f>IF(ISNUMBER((((NºAsuntos!C18+NºAsuntos!E18)/NºAsuntos!G18)-Datos!BG18)/Datos!BG18),(((NºAsuntos!C18+NºAsuntos!E18)/NºAsuntos!G18)-Datos!BG18)/Datos!BG18," - ")</f>
        <v>1.6210368893320035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-0.13964110929853182</v>
      </c>
      <c r="C20" s="1002">
        <f>IF(ISNUMBER(
   IF(Criterios!B14="SI",(Datos!J20-Datos!T20)/Datos!T20,(Datos!J20+Datos!AD20-(Datos!T20+Datos!AL20))/(Datos!T20+Datos!AL20))
     ),IF(Criterios!B14="SI",(Datos!J20-Datos!T20)/Datos!T20,(Datos!J20+Datos!AD20-(Datos!T20+Datos!AL20))/(Datos!T20+Datos!AL20))," - ")</f>
        <v>-4.8058252427184464E-2</v>
      </c>
      <c r="D20" s="1002">
        <f>IF(ISNUMBER(
   IF(Criterios!B14="SI",(Datos!K20-Datos!U20)/Datos!U20,(Datos!K20+Datos!AE20-(Datos!U20+Datos!AM20))/(Datos!U20+Datos!AM20))
     ),IF(Criterios!B14="SI",(Datos!K20-Datos!U20)/Datos!U20,(Datos!K20+Datos!AE20-(Datos!U20+Datos!AM20))/(Datos!U20+Datos!AM20))," - ")</f>
        <v>-0.26297273526824977</v>
      </c>
      <c r="E20" s="1002">
        <f>IF(ISNUMBER(
   IF(Criterios!B14="SI",(Datos!L20-Datos!V20)/Datos!V20,(Datos!L20+Datos!AF20-(Datos!V20+Datos!AN20))/(Datos!V20+Datos!AN20))
     ),IF(Criterios!B14="SI",(Datos!L20-Datos!V20)/Datos!V20,(Datos!L20+Datos!AF20-(Datos!V20+Datos!AN20))/(Datos!V20+Datos!AN20))," - ")</f>
        <v>7.4658254468980015E-2</v>
      </c>
      <c r="F20" s="1003">
        <f>IF(ISNUMBER((Datos!M20-Datos!W20)/Datos!W20),(Datos!M20-Datos!W20)/Datos!W20," - ")</f>
        <v>-0.27401129943502822</v>
      </c>
      <c r="G20" s="1004">
        <f>IF(ISNUMBER((Datos!N20-Datos!X20)/Datos!X20),(Datos!N20-Datos!X20)/Datos!X20," - ")</f>
        <v>-0.27909090909090911</v>
      </c>
      <c r="H20" s="1004">
        <f>IF(ISNUMBER(((NºAsuntos!G20/NºAsuntos!E20)-Datos!BD20)/Datos!BD20),((NºAsuntos!G20/NºAsuntos!E20)-Datos!BD20)/Datos!BD20," - ")</f>
        <v>-0.22576432159744753</v>
      </c>
      <c r="I20" s="1004">
        <f>IF(ISNUMBER(((NºAsuntos!I20/NºAsuntos!G20)-Datos!BE20)/Datos!BE20),((NºAsuntos!I20/NºAsuntos!G20)-Datos!BE20)/Datos!BE20," - ")</f>
        <v>0.45809837151698124</v>
      </c>
      <c r="J20" s="1004">
        <f>IF(ISNUMBER((('Resol  Asuntos'!D20/NºAsuntos!G20)-Datos!BF20)/Datos!BF20),(('Resol  Asuntos'!D20/NºAsuntos!G20)-Datos!BF20)/Datos!BF20," - ")</f>
        <v>-1.4977144937502596E-2</v>
      </c>
      <c r="K20" s="1004">
        <f>IF(ISNUMBER((((NºAsuntos!C20+NºAsuntos!E20)/NºAsuntos!G20)-Datos!BG20)/Datos!BG20),(((NºAsuntos!C20+NºAsuntos!E20)/NºAsuntos!G20)-Datos!BG20)/Datos!BG20," - ")</f>
        <v>0.2172829617556318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7.2616291307093239E-3</v>
      </c>
      <c r="C21" s="949">
        <f>IF(ISNUMBER(
   IF(J_V="SI",(Datos!J21-Datos!T21)/Datos!T21,(Datos!J21+Datos!Z21-(Datos!T21+Datos!AH21))/(Datos!T21+Datos!AH21))
     ),IF(J_V="SI",(Datos!J21-Datos!T21)/Datos!T21,(Datos!J21+Datos!Z21-(Datos!T21+Datos!AH21))/(Datos!T21+Datos!AH21))," - ")</f>
        <v>-0.29932735426008966</v>
      </c>
      <c r="D21" s="949">
        <f>IF(ISNUMBER(
   IF(J_V="SI",(Datos!K21-Datos!U21)/Datos!U21,(Datos!K21+Datos!AA21-(Datos!U21+Datos!AI21))/(Datos!U21+Datos!AI21))
     ),IF(J_V="SI",(Datos!K21-Datos!U21)/Datos!U21,(Datos!K21+Datos!AA21-(Datos!U21+Datos!AI21))/(Datos!U21+Datos!AI21))," - ")</f>
        <v>-0.16701853155055124</v>
      </c>
      <c r="E21" s="949">
        <f>IF(ISNUMBER(
   IF(J_V="SI",(Datos!L21-Datos!V21)/Datos!V21,(Datos!L21+Datos!AB21-(Datos!V21+Datos!AJ21))/(Datos!V21+Datos!AJ21))
     ),IF(J_V="SI",(Datos!L21-Datos!V21)/Datos!V21,(Datos!L21+Datos!AB21-(Datos!V21+Datos!AJ21))/(Datos!V21+Datos!AJ21))," - ")</f>
        <v>-3.0394819302276999E-2</v>
      </c>
      <c r="F21" s="950">
        <f>IF(ISNUMBER((Datos!M21-Datos!W21)/Datos!W21),(Datos!M21-Datos!W21)/Datos!W21," - ")</f>
        <v>-0.16216216216216217</v>
      </c>
      <c r="G21" s="951">
        <f>IF(ISNUMBER((Datos!N21-Datos!X21)/Datos!X21),(Datos!N21-Datos!X21)/Datos!X21," - ")</f>
        <v>-0.13967310549777118</v>
      </c>
      <c r="H21" s="952">
        <f>IF(ISNUMBER((Tasas!B21-Datos!BD21)/Datos!BD21),(Tasas!B21-Datos!BD21)/Datos!BD21," - ")</f>
        <v>0.18883115177105325</v>
      </c>
      <c r="I21" s="953">
        <f>IF(ISNUMBER((Tasas!C21-Datos!BE21)/Datos!BE21),(Tasas!C21-Datos!BE21)/Datos!BE21," - ")</f>
        <v>0.16401770918456593</v>
      </c>
      <c r="J21" s="954">
        <f>IF(ISNUMBER((Tasas!D21-Datos!BF21)/Datos!BF21),(Tasas!D21-Datos!BF21)/Datos!BF21," - ")</f>
        <v>-0.475424549803104</v>
      </c>
      <c r="K21" s="954">
        <f>IF(ISNUMBER((Tasas!E21-Datos!BG21)/Datos!BG21),(Tasas!E21-Datos!BG21)/Datos!BG21," - ")</f>
        <v>9.1651310385823873E-2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2Sc6qCFnVTTBJLN1Xfyh2yPaFMig170se+9bkEQDol14d+ycRtTII/RXym0Jly0kczmZLzRAd7vVObFTRT8m7A==" saltValue="XO3a40/VBAtIRGCcaI8aS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ARENYS DE MAR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1.6622340425531914</v>
      </c>
      <c r="C12" s="460">
        <f>IF(ISNUMBER(NºAsuntos!I12/NºAsuntos!G12),NºAsuntos!I12/NºAsuntos!G12," - ")</f>
        <v>3.2405333333333335</v>
      </c>
      <c r="D12" s="461">
        <f>IF(ISNUMBER('Resol  Asuntos'!D12/NºAsuntos!G12),'Resol  Asuntos'!D12/NºAsuntos!G12," - ")</f>
        <v>0.16053333333333333</v>
      </c>
      <c r="E12" s="462">
        <f>IF(ISNUMBER((NºAsuntos!C12+NºAsuntos!E12)/NºAsuntos!G12),(NºAsuntos!C12+NºAsuntos!E12)/NºAsuntos!G12," - ")</f>
        <v>4.2405333333333335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1.6108247422680413</v>
      </c>
      <c r="C14" s="1006">
        <f>IF(ISNUMBER(NºAsuntos!I14/NºAsuntos!G14),NºAsuntos!I14/NºAsuntos!G14," - ")</f>
        <v>3.3157333333333332</v>
      </c>
      <c r="D14" s="1007">
        <f>IF(ISNUMBER('Resol  Asuntos'!D14/NºAsuntos!G14),'Resol  Asuntos'!D14/NºAsuntos!G14," - ")</f>
        <v>0.16053333333333333</v>
      </c>
      <c r="E14" s="1008">
        <f>IF(ISNUMBER((NºAsuntos!C14+NºAsuntos!E14)/NºAsuntos!G14),(NºAsuntos!C14+NºAsuntos!E14)/NºAsuntos!G14," - ")</f>
        <v>4.3189333333333337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0.90397727272727268</v>
      </c>
      <c r="C17" s="460">
        <f>IF(ISNUMBER(NºAsuntos!I17/NºAsuntos!G17),NºAsuntos!I17/NºAsuntos!G17," - ")</f>
        <v>1.7203016970458831</v>
      </c>
      <c r="D17" s="461">
        <f>IF(ISNUMBER('Resol  Asuntos'!D17/NºAsuntos!G17),'Resol  Asuntos'!D17/NºAsuntos!G17," - ")</f>
        <v>0.16153362664990573</v>
      </c>
      <c r="E17" s="462">
        <f>IF(ISNUMBER((NºAsuntos!C17+NºAsuntos!E17)/NºAsuntos!G17),(NºAsuntos!C17+NºAsuntos!E17)/NºAsuntos!G17," - ")</f>
        <v>2.6297925832809552</v>
      </c>
      <c r="G17" s="480"/>
    </row>
    <row r="18" spans="1:7">
      <c r="A18" s="414" t="str">
        <f>Datos!A18</f>
        <v>Jdos. Violencia contra la mujer</v>
      </c>
      <c r="B18" s="459">
        <f>IF(ISNUMBER(NºAsuntos!G18/NºAsuntos!E18),NºAsuntos!G18/NºAsuntos!E18," - ")</f>
        <v>0.4228855721393035</v>
      </c>
      <c r="C18" s="460">
        <f>IF(ISNUMBER(NºAsuntos!I18/NºAsuntos!G18),NºAsuntos!I18/NºAsuntos!G18," - ")</f>
        <v>3.8705882352941177</v>
      </c>
      <c r="D18" s="461">
        <f>IF(ISNUMBER('Resol  Asuntos'!D18/NºAsuntos!G18),'Resol  Asuntos'!D18/NºAsuntos!G18," - ")</f>
        <v>0</v>
      </c>
      <c r="E18" s="462">
        <f>IF(ISNUMBER((NºAsuntos!C18+NºAsuntos!E18)/NºAsuntos!G18),(NºAsuntos!C18+NºAsuntos!E18)/NºAsuntos!G18," - ")</f>
        <v>4.8705882352941172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0.85466598674145844</v>
      </c>
      <c r="C20" s="1006">
        <f>IF(ISNUMBER(NºAsuntos!I20/NºAsuntos!G20),NºAsuntos!I20/NºAsuntos!G20," - ")</f>
        <v>1.8293556085918854</v>
      </c>
      <c r="D20" s="1009">
        <f>IF(ISNUMBER('Resol  Asuntos'!D20/NºAsuntos!G20),'Resol  Asuntos'!D20/NºAsuntos!G20," - ")</f>
        <v>0.15334128878281622</v>
      </c>
      <c r="E20" s="1008">
        <f>IF(ISNUMBER((NºAsuntos!C20+NºAsuntos!E20)/NºAsuntos!G20),(NºAsuntos!C20+NºAsuntos!E20)/NºAsuntos!G20," - ")</f>
        <v>2.7434367541766109</v>
      </c>
      <c r="G20" s="480"/>
    </row>
    <row r="21" spans="1:7" ht="15.75" customHeight="1" thickTop="1" thickBot="1">
      <c r="A21" s="940" t="str">
        <f>Datos!A21</f>
        <v>TOTAL JURISDICCIONES</v>
      </c>
      <c r="B21" s="955">
        <f>IF(ISNUMBER(NºAsuntos!G21/NºAsuntos!E21),NºAsuntos!G21/NºAsuntos!E21," - ")</f>
        <v>1.13632</v>
      </c>
      <c r="C21" s="956">
        <f>IF(ISNUMBER(NºAsuntos!I21/NºAsuntos!G21),NºAsuntos!I21/NºAsuntos!G21," - ")</f>
        <v>2.6141931850183049</v>
      </c>
      <c r="D21" s="957">
        <f>IF(ISNUMBER('Resol  Asuntos'!D21/NºAsuntos!G21),'Resol  Asuntos'!D21/NºAsuntos!G21," - ")</f>
        <v>0.15713883413123064</v>
      </c>
      <c r="E21" s="958">
        <f>IF(ISNUMBER((NºAsuntos!C21+NºAsuntos!E21)/NºAsuntos!G21),(NºAsuntos!C21+NºAsuntos!E21)/NºAsuntos!G21," - ")</f>
        <v>3.5753308927062801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OWiOqk4AAbkAhX9ovemwjJzFnhHyQVgQFSerMJ4U7eSShNeA+dSnIIJZ6K2j8MTMNBKBncFxYeIIDvC2f7isQ==" saltValue="MOzPTgx/JVIYCyO5sj1Ph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ARENYS DE MAR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105</v>
      </c>
      <c r="G10" s="343">
        <f>IF(ISNUMBER(Datos!I10),Datos!I10," - ")</f>
        <v>111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9</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141</v>
      </c>
      <c r="AB10" s="344">
        <f>IF(ISNUMBER(Datos!R10),Datos!R10," - ")</f>
        <v>178</v>
      </c>
      <c r="AC10" s="344">
        <f t="shared" ref="AC10:AC13" si="1">IF(ISNUMBER(AA10+AB10),AA10+AB10," - ")</f>
        <v>319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213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723</v>
      </c>
      <c r="Y12" s="344">
        <f t="shared" si="0"/>
        <v>723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7766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301</v>
      </c>
      <c r="AJ12" s="234" t="str">
        <f>IF(ISNUMBER(Datos!BW12),Datos!BW12," - ")</f>
        <v xml:space="preserve"> - </v>
      </c>
      <c r="AK12" s="233" t="str">
        <f>IF(ISNUMBER(Datos!BX12),Datos!BX12," - ")</f>
        <v xml:space="preserve"> - </v>
      </c>
      <c r="AL12" s="248">
        <f>IF(ISNUMBER(NºAsuntos!G12/NºAsuntos!E12),NºAsuntos!G12/NºAsuntos!E12," - ")</f>
        <v>1.6622340425531914</v>
      </c>
      <c r="AM12" s="265">
        <f>IF(ISNUMBER(((NºAsuntos!I12/NºAsuntos!G12)*11)/factor_trimestre),((NºAsuntos!I12/NºAsuntos!G12)*11)/factor_trimestre," - ")</f>
        <v>9.7216000000000005</v>
      </c>
      <c r="AN12" s="249">
        <f>IF(ISNUMBER('Resol  Asuntos'!D12/NºAsuntos!G12),'Resol  Asuntos'!D12/NºAsuntos!G12," - ")</f>
        <v>0.16053333333333333</v>
      </c>
      <c r="AO12" s="250">
        <f>IF(ISNUMBER((NºAsuntos!C12+NºAsuntos!E12)/NºAsuntos!G12),(NºAsuntos!C12+NºAsuntos!E12)/NºAsuntos!G12," - ")</f>
        <v>4.2405333333333335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105</v>
      </c>
      <c r="G14" s="1013">
        <f t="shared" si="5"/>
        <v>111</v>
      </c>
      <c r="H14" s="1012">
        <f t="shared" si="5"/>
        <v>0</v>
      </c>
      <c r="I14" s="1014">
        <f t="shared" si="5"/>
        <v>0</v>
      </c>
      <c r="J14" s="1014">
        <f t="shared" si="5"/>
        <v>0</v>
      </c>
      <c r="K14" s="1014">
        <f t="shared" si="5"/>
        <v>0</v>
      </c>
      <c r="L14" s="1014">
        <f t="shared" si="5"/>
        <v>222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723</v>
      </c>
      <c r="Y14" s="1015">
        <f t="shared" si="6"/>
        <v>723</v>
      </c>
      <c r="Z14" s="1015">
        <f t="shared" si="6"/>
        <v>0</v>
      </c>
      <c r="AA14" s="1015">
        <f t="shared" si="6"/>
        <v>141</v>
      </c>
      <c r="AB14" s="1015">
        <f t="shared" si="6"/>
        <v>7944</v>
      </c>
      <c r="AC14" s="1015">
        <f t="shared" si="6"/>
        <v>319</v>
      </c>
      <c r="AD14" s="1015">
        <f t="shared" si="6"/>
        <v>0</v>
      </c>
      <c r="AE14" s="1019">
        <f t="shared" si="6"/>
        <v>0</v>
      </c>
      <c r="AF14" s="1012">
        <f t="shared" si="6"/>
        <v>0</v>
      </c>
      <c r="AG14" s="1020">
        <f t="shared" si="6"/>
        <v>0</v>
      </c>
      <c r="AH14" s="1017">
        <f t="shared" si="6"/>
        <v>0</v>
      </c>
      <c r="AI14" s="1012">
        <f t="shared" si="6"/>
        <v>301</v>
      </c>
      <c r="AJ14" s="1014">
        <f t="shared" si="6"/>
        <v>0</v>
      </c>
      <c r="AK14" s="1017">
        <f>SUBTOTAL(9,AK9:AK13)</f>
        <v>0</v>
      </c>
      <c r="AL14" s="1021">
        <f>IF(ISNUMBER(NºAsuntos!G14/NºAsuntos!E14),NºAsuntos!G14/NºAsuntos!E14," - ")</f>
        <v>1.6108247422680413</v>
      </c>
      <c r="AM14" s="1021">
        <f>IF(ISNUMBER(((NºAsuntos!I14/NºAsuntos!G14)*11)/factor_trimestre),((NºAsuntos!I14/NºAsuntos!G14)*11)/factor_trimestre," - ")</f>
        <v>9.9472000000000005</v>
      </c>
      <c r="AN14" s="1022">
        <f>IF(ISNUMBER('Resol  Asuntos'!D14/NºAsuntos!G14),'Resol  Asuntos'!D14/NºAsuntos!G14," - ")</f>
        <v>0.16053333333333333</v>
      </c>
      <c r="AO14" s="1023">
        <f>IF(ISNUMBER((NºAsuntos!C14+NºAsuntos!E14)/NºAsuntos!G14),(NºAsuntos!C14+NºAsuntos!E14)/NºAsuntos!G14," - ")</f>
        <v>4.3189333333333337</v>
      </c>
      <c r="AP14" s="1024" t="str">
        <f t="shared" si="2"/>
        <v xml:space="preserve"> - </v>
      </c>
      <c r="AQ14" s="1024">
        <f>IF(ISNUMBER((H14-W14+K14)/(F14)),(H14-W14+K14)/(F14)," - ")</f>
        <v>0</v>
      </c>
      <c r="AR14" s="1025">
        <f>IF(ISNUMBER((Datos!P14-Datos!Q14)/(Datos!R14-Datos!P14+Datos!Q14)),(Datos!P14-Datos!Q14)/(Datos!R14-Datos!P14+Datos!Q14)," - ")</f>
        <v>-5.9325044404973354E-2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2568</v>
      </c>
      <c r="G17" s="343">
        <f>IF(ISNUMBER(IF(D_I="SI",Datos!I17,Datos!I17+Datos!AC17)),IF(D_I="SI",Datos!I17,Datos!I17+Datos!AC17)," - ")</f>
        <v>2424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1591</v>
      </c>
      <c r="X17" s="231">
        <f>IF(ISNUMBER(Datos!Q17),Datos!Q17," - ")</f>
        <v>23</v>
      </c>
      <c r="Y17" s="344">
        <f t="shared" ref="Y17:Y19" si="9">SUM(W17:X17)</f>
        <v>1614</v>
      </c>
      <c r="Z17" s="345" t="str">
        <f>IF(ISNUMBER(Datos!CC17),Datos!CC17," - ")</f>
        <v xml:space="preserve"> - </v>
      </c>
      <c r="AA17" s="342">
        <f>IF(ISNUMBER(IF(D_I="SI",Datos!L17,Datos!L17+Datos!AF17)),IF(D_I="SI",Datos!L17,Datos!L17+Datos!AF17)," - ")</f>
        <v>2737</v>
      </c>
      <c r="AB17" s="344">
        <f>IF(ISNUMBER(Datos!R17),Datos!R17," - ")</f>
        <v>393</v>
      </c>
      <c r="AC17" s="344">
        <f t="shared" si="8"/>
        <v>3130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257</v>
      </c>
      <c r="AJ17" s="236" t="str">
        <f>IF(ISNUMBER(Datos!BW17),Datos!BW17," - ")</f>
        <v xml:space="preserve"> - </v>
      </c>
      <c r="AK17" s="237" t="str">
        <f>IF(ISNUMBER(Datos!BX17),Datos!BX17," - ")</f>
        <v xml:space="preserve"> - </v>
      </c>
      <c r="AL17" s="248">
        <f>IF(ISNUMBER(NºAsuntos!G17/NºAsuntos!E17),NºAsuntos!G17/NºAsuntos!E17," - ")</f>
        <v>0.90397727272727268</v>
      </c>
      <c r="AM17" s="265">
        <f>IF(ISNUMBER(((NºAsuntos!I17/NºAsuntos!G17)*11)/factor_trimestre),((NºAsuntos!I17/NºAsuntos!G17)*11)/factor_trimestre," - ")</f>
        <v>5.1609050911376491</v>
      </c>
      <c r="AN17" s="249">
        <f>IF(ISNUMBER('Resol  Asuntos'!D17/NºAsuntos!G17),'Resol  Asuntos'!D17/NºAsuntos!G17," - ")</f>
        <v>0.16153362664990573</v>
      </c>
      <c r="AO17" s="250">
        <f>IF(ISNUMBER((NºAsuntos!C17+NºAsuntos!E17)/NºAsuntos!G17),(NºAsuntos!C17+NºAsuntos!E17)/NºAsuntos!G17," - ")</f>
        <v>2.6297925832809552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85</v>
      </c>
      <c r="X18" s="231">
        <f>IF(ISNUMBER(Datos!Q18),Datos!Q18," - ")</f>
        <v>0</v>
      </c>
      <c r="Y18" s="344">
        <f t="shared" si="9"/>
        <v>85</v>
      </c>
      <c r="Z18" s="345" t="str">
        <f>IF(ISNUMBER(Datos!CC18),Datos!CC18," - ")</f>
        <v xml:space="preserve"> - </v>
      </c>
      <c r="AA18" s="342">
        <f>IF(ISNUMBER(Datos!L18),Datos!L18,"-")</f>
        <v>329</v>
      </c>
      <c r="AB18" s="344">
        <f>IF(ISNUMBER(Datos!R18),Datos!R18," - ")</f>
        <v>0</v>
      </c>
      <c r="AC18" s="344">
        <f t="shared" si="8"/>
        <v>329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0.4228855721393035</v>
      </c>
      <c r="AM18" s="265">
        <f>IF(ISNUMBER(((NºAsuntos!I18/NºAsuntos!G18)*11)/factor_trimestre),((NºAsuntos!I18/NºAsuntos!G18)*11)/factor_trimestre," - ")</f>
        <v>11.611764705882354</v>
      </c>
      <c r="AN18" s="249">
        <f>IF(ISNUMBER('Resol  Asuntos'!D18/NºAsuntos!G18),'Resol  Asuntos'!D18/NºAsuntos!G18," - ")</f>
        <v>0</v>
      </c>
      <c r="AO18" s="250">
        <f>IF(ISNUMBER((NºAsuntos!C18+NºAsuntos!E18)/NºAsuntos!G18),(NºAsuntos!C18+NºAsuntos!E18)/NºAsuntos!G18," - ")</f>
        <v>4.8705882352941172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2568</v>
      </c>
      <c r="G20" s="1013">
        <f>SUBTOTAL(9,G16:G19)</f>
        <v>2637</v>
      </c>
      <c r="H20" s="1012">
        <f t="shared" ref="H20:O20" si="12">SUBTOTAL(9,H15:H19)</f>
        <v>0</v>
      </c>
      <c r="I20" s="1014">
        <f t="shared" si="12"/>
        <v>0</v>
      </c>
      <c r="J20" s="1014">
        <f t="shared" si="12"/>
        <v>0</v>
      </c>
      <c r="K20" s="1014">
        <f t="shared" si="12"/>
        <v>0</v>
      </c>
      <c r="L20" s="1014">
        <f t="shared" si="12"/>
        <v>47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1676</v>
      </c>
      <c r="X20" s="1014">
        <f t="shared" si="13"/>
        <v>23</v>
      </c>
      <c r="Y20" s="1015">
        <f t="shared" si="13"/>
        <v>1699</v>
      </c>
      <c r="Z20" s="1015">
        <f t="shared" si="13"/>
        <v>0</v>
      </c>
      <c r="AA20" s="1015">
        <f t="shared" si="13"/>
        <v>3066</v>
      </c>
      <c r="AB20" s="1015">
        <f t="shared" si="13"/>
        <v>393</v>
      </c>
      <c r="AC20" s="1015">
        <f t="shared" si="13"/>
        <v>3459</v>
      </c>
      <c r="AD20" s="1015">
        <f t="shared" si="13"/>
        <v>0</v>
      </c>
      <c r="AE20" s="1019">
        <f t="shared" si="13"/>
        <v>0</v>
      </c>
      <c r="AF20" s="1012">
        <f t="shared" si="13"/>
        <v>0</v>
      </c>
      <c r="AG20" s="1020">
        <f t="shared" si="13"/>
        <v>0</v>
      </c>
      <c r="AH20" s="1017">
        <f t="shared" si="13"/>
        <v>0</v>
      </c>
      <c r="AI20" s="1012">
        <f t="shared" si="13"/>
        <v>257</v>
      </c>
      <c r="AJ20" s="1014">
        <f t="shared" si="13"/>
        <v>0</v>
      </c>
      <c r="AK20" s="1017">
        <f t="shared" si="13"/>
        <v>0</v>
      </c>
      <c r="AL20" s="1021">
        <f>IF(ISNUMBER(NºAsuntos!G20/NºAsuntos!E20),NºAsuntos!G20/NºAsuntos!E20," - ")</f>
        <v>0.85466598674145844</v>
      </c>
      <c r="AM20" s="1021">
        <f>IF(ISNUMBER(((NºAsuntos!I20/NºAsuntos!G20)*11)/factor_trimestre),((NºAsuntos!I20/NºAsuntos!G20)*11)/factor_trimestre," - ")</f>
        <v>5.4880668257756566</v>
      </c>
      <c r="AN20" s="1022">
        <f>IF(ISNUMBER('Resol  Asuntos'!D20/NºAsuntos!G20),'Resol  Asuntos'!D20/NºAsuntos!G20," - ")</f>
        <v>0.15334128878281622</v>
      </c>
      <c r="AO20" s="1023">
        <f>IF(ISNUMBER((NºAsuntos!C20+NºAsuntos!E20)/NºAsuntos!G20),(NºAsuntos!C20+NºAsuntos!E20)/NºAsuntos!G20," - ")</f>
        <v>2.7434367541766109</v>
      </c>
      <c r="AP20" s="1024" t="str">
        <f t="shared" si="2"/>
        <v xml:space="preserve"> - </v>
      </c>
      <c r="AQ20" s="1024">
        <f>IF(ISNUMBER((H20-W20+K20)/(F20)),(H20-W20+K20)/(F20)," - ")</f>
        <v>-0.65264797507788164</v>
      </c>
      <c r="AR20" s="1025">
        <f>IF(ISNUMBER((Datos!P20-Datos!Q20)/(Datos!R20-Datos!P20+Datos!Q20)),(Datos!P20-Datos!Q20)/(Datos!R20-Datos!P20+Datos!Q20)," - ")</f>
        <v>6.5040650406504072E-2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2673</v>
      </c>
      <c r="G21" s="968">
        <f t="shared" si="15"/>
        <v>2748</v>
      </c>
      <c r="H21" s="967">
        <f t="shared" si="15"/>
        <v>0</v>
      </c>
      <c r="I21" s="969">
        <f t="shared" si="15"/>
        <v>0</v>
      </c>
      <c r="J21" s="969">
        <f t="shared" si="15"/>
        <v>0</v>
      </c>
      <c r="K21" s="1028">
        <f t="shared" si="15"/>
        <v>0</v>
      </c>
      <c r="L21" s="969">
        <f t="shared" si="15"/>
        <v>269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1676</v>
      </c>
      <c r="X21" s="968">
        <f t="shared" si="16"/>
        <v>746</v>
      </c>
      <c r="Y21" s="975">
        <f t="shared" si="16"/>
        <v>2422</v>
      </c>
      <c r="Z21" s="975">
        <f t="shared" si="16"/>
        <v>0</v>
      </c>
      <c r="AA21" s="975">
        <f t="shared" si="16"/>
        <v>3207</v>
      </c>
      <c r="AB21" s="975">
        <f t="shared" si="16"/>
        <v>8337</v>
      </c>
      <c r="AC21" s="975">
        <f t="shared" si="16"/>
        <v>3778</v>
      </c>
      <c r="AD21" s="975">
        <f t="shared" si="16"/>
        <v>0</v>
      </c>
      <c r="AE21" s="977">
        <f t="shared" si="16"/>
        <v>0</v>
      </c>
      <c r="AF21" s="978">
        <f t="shared" si="16"/>
        <v>0</v>
      </c>
      <c r="AG21" s="979">
        <f t="shared" si="16"/>
        <v>0</v>
      </c>
      <c r="AH21" s="977">
        <f t="shared" si="16"/>
        <v>0</v>
      </c>
      <c r="AI21" s="967">
        <f t="shared" si="16"/>
        <v>558</v>
      </c>
      <c r="AJ21" s="967">
        <f t="shared" si="16"/>
        <v>0</v>
      </c>
      <c r="AK21" s="977">
        <f t="shared" si="16"/>
        <v>0</v>
      </c>
      <c r="AL21" s="1031">
        <f>IF(ISNUMBER(NºAsuntos!G21/NºAsuntos!E21),NºAsuntos!G21/NºAsuntos!E21," - ")</f>
        <v>1.13632</v>
      </c>
      <c r="AM21" s="1032">
        <f>IF(ISNUMBER(((NºAsuntos!I21/NºAsuntos!G21)*11)/factor_trimestre),((NºAsuntos!I21/NºAsuntos!G21)*11)/factor_trimestre," - ")</f>
        <v>7.8425795550549147</v>
      </c>
      <c r="AN21" s="1032">
        <f>IF(ISNUMBER('Resol  Asuntos'!D21/NºAsuntos!G21),'Resol  Asuntos'!D21/NºAsuntos!G21," - ")</f>
        <v>0.15713883413123064</v>
      </c>
      <c r="AO21" s="1033">
        <f>IF(ISNUMBER((NºAsuntos!C21+NºAsuntos!E21)/NºAsuntos!G21),(NºAsuntos!C21+NºAsuntos!E21)/NºAsuntos!G21," - ")</f>
        <v>3.5753308927062801</v>
      </c>
      <c r="AP21" s="1034" t="str">
        <f t="shared" si="2"/>
        <v xml:space="preserve"> - </v>
      </c>
      <c r="AQ21" s="1035">
        <f>IF(OR(ISNUMBER(FIND("01",Criterios!A8,1)),ISNUMBER(FIND("02",Criterios!A8,1)),ISNUMBER(FIND("03",Criterios!A8,1)),ISNUMBER(FIND("04",Criterios!A8,1))),(I21-W21+K21)/(F21-K21),(H21-W21+K21)/(F21-K21))</f>
        <v>-0.62701084923307149</v>
      </c>
      <c r="AR21" s="1036">
        <f>IF(ISNUMBER((Datos!P21-Datos!Q21)/(Datos!R21-Datos!P21+Datos!Q21)),(Datos!P21-Datos!Q21)/(Datos!R21-Datos!P21+Datos!Q21)," - ")</f>
        <v>-5.4118447923757661E-2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1099.2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4.036199832876104</v>
      </c>
      <c r="F23" s="257">
        <f>IF(ISNUMBER(STDEV(F8:F20)),STDEV(F8:F20),"-")</f>
        <v>1422.0137130140483</v>
      </c>
      <c r="G23" s="258">
        <f>IF(ISNUMBER(STDEV(G8:G20)),STDEV(G8:G20),"-")</f>
        <v>1309.4228499610047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880.38360957028272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145.41251665520406</v>
      </c>
      <c r="AJ23" s="257">
        <f t="shared" si="20"/>
        <v>0</v>
      </c>
      <c r="AK23" s="259">
        <f t="shared" si="20"/>
        <v>0</v>
      </c>
      <c r="AL23" s="254">
        <f t="shared" si="20"/>
        <v>0.65199464475287638</v>
      </c>
      <c r="AM23" s="255">
        <f t="shared" si="20"/>
        <v>2.8907604772884787</v>
      </c>
      <c r="AN23" s="255">
        <f t="shared" si="20"/>
        <v>7.1176236269301474E-2</v>
      </c>
      <c r="AO23" s="256">
        <f t="shared" si="20"/>
        <v>1.0108773991252928</v>
      </c>
      <c r="AP23" s="296" t="str">
        <f t="shared" si="20"/>
        <v>-</v>
      </c>
      <c r="AQ23" s="297">
        <f t="shared" si="20"/>
        <v>0.461491808905239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H8choCwV+qAYnsOLE20ahrf7i1M+AibM6TdTuxJUTnfIB5k1FXlBy0/s3x0XKCvvXk4cYPQgyYvOuNmG4UYqw==" saltValue="5SMNzJbdq1cwC2J8RJwf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ARENYS DE MAR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0.20652173913043478</v>
      </c>
      <c r="E10" s="358">
        <f>IF(ISNUMBER((Datos!J10-Datos!T10)/Datos!T10),(Datos!J10-Datos!T10)/Datos!T10," - ")</f>
        <v>0.33333333333333331</v>
      </c>
      <c r="F10" s="358">
        <f>IF(ISNUMBER((Datos!K10-Datos!U10)/Datos!U10),(Datos!K10-Datos!U10)/Datos!U10," - ")</f>
        <v>-1</v>
      </c>
      <c r="G10" s="359">
        <f>IF(ISNUMBER((Datos!L10-Datos!V10)/Datos!V10),(Datos!L10-Datos!V10)/Datos!V10," - ")</f>
        <v>0.5161290322580645</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v>
      </c>
      <c r="I12" s="360">
        <f>IF(ISNUMBER((Tasas!C12-Datos!BE12)/Datos!BE12),(Tasas!C12-Datos!BE12)/Datos!BE12," - ")</f>
        <v>-4.0258459062562799E-2</v>
      </c>
      <c r="J12" s="359">
        <f>IF(ISNUMBER((Tasas!D12-Datos!BF12)/Datos!BF12),(Tasas!D12-Datos!BF12)/Datos!BF12," - ")</f>
        <v>-0.65446608187134492</v>
      </c>
      <c r="K12" s="361">
        <f>IF(ISNUMBER((Tasas!E12-Datos!BG12)/Datos!BG12),(Tasas!E12-Datos!BG12)/Datos!BG12," - ")</f>
        <v>-4.5174703678213628E-2</v>
      </c>
      <c r="M12" t="e">
        <f>IF(Monitorios="SI",Datos!CE12,0)</f>
        <v>#REF!</v>
      </c>
      <c r="N12" t="e">
        <f>IF(Monitorios="SI",Datos!CF12,0)</f>
        <v>#REF!</v>
      </c>
      <c r="O12" t="e">
        <f>IF(Monitorios="SI",Datos!CG12,0)</f>
        <v>#REF!</v>
      </c>
      <c r="P12" t="e">
        <f>IF(Monitorios="SI",Datos!CH12,0)</f>
        <v>#REF!</v>
      </c>
      <c r="Q12">
        <f>IF(J_V="SI",0,Datos!AG12)</f>
        <v>79</v>
      </c>
      <c r="R12">
        <f>IF(J_V="SI",0,Datos!AH12)</f>
        <v>88</v>
      </c>
      <c r="S12">
        <f>IF(J_V="SI",0,Datos!AI12)</f>
        <v>81</v>
      </c>
      <c r="T12">
        <f>IF(J_V="SI",0,Datos!AJ12)</f>
        <v>86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-3.5256410256410256E-2</v>
      </c>
      <c r="I14" s="367">
        <f>IF(ISNUMBER((Tasas!C14-Datos!BE14)/Datos!BE14),(Tasas!C14-Datos!BE14)/Datos!BE14," - ")</f>
        <v>-1.8748162475822085E-2</v>
      </c>
      <c r="J14" s="365">
        <f>IF(ISNUMBER((Tasas!D14-Datos!BF14)/Datos!BF14),(Tasas!D14-Datos!BF14)/Datos!BF14," - ")</f>
        <v>-0.65406197183098602</v>
      </c>
      <c r="K14" s="368">
        <f>IF(ISNUMBER((Tasas!E14-Datos!BG14)/Datos!BG14),(Tasas!E14-Datos!BG14)/Datos!BG14," - ")</f>
        <v>-2.7910105239334571E-2</v>
      </c>
      <c r="M14" t="e">
        <f>IF(Monitorios="SI",Datos!CE14,0)</f>
        <v>#REF!</v>
      </c>
      <c r="N14" t="e">
        <f>IF(Monitorios="SI",Datos!CF14,0)</f>
        <v>#REF!</v>
      </c>
      <c r="O14" t="e">
        <f>IF(Monitorios="SI",Datos!CG14,0)</f>
        <v>#REF!</v>
      </c>
      <c r="P14" t="e">
        <f>IF(Monitorios="SI",Datos!CH14,0)</f>
        <v>#REF!</v>
      </c>
      <c r="Q14">
        <f>IF(J_V="SI",0,Datos!AG14)</f>
        <v>79</v>
      </c>
      <c r="R14">
        <f>IF(J_V="SI",0,Datos!AH14)</f>
        <v>88</v>
      </c>
      <c r="S14">
        <f>IF(J_V="SI",0,Datos!AI14)</f>
        <v>81</v>
      </c>
      <c r="T14">
        <f>IF(J_V="SI",0,Datos!AJ14)</f>
        <v>86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-0.14647887323943662</v>
      </c>
      <c r="E17" s="358">
        <f>IF(ISNUMBER(
   IF(D_I="SI",(Datos!J17-Datos!T17)/Datos!T17,(Datos!J17+Datos!AD17-(Datos!T17+Datos!AL17))/(Datos!T17+Datos!AL17))
     ),IF(D_I="SI",(Datos!J17-Datos!T17)/Datos!T17,(Datos!J17+Datos!AD17-(Datos!T17+Datos!AL17))/(Datos!T17+Datos!AL17))," - ")</f>
        <v>-2.9233314947600661E-2</v>
      </c>
      <c r="F17" s="358">
        <f>IF(ISNUMBER(
   IF(D_I="SI",(Datos!K17-Datos!U17)/Datos!U17,(Datos!K17+Datos!AE17-(Datos!U17+Datos!AM17))/(Datos!U17+Datos!AM17))
     ),IF(D_I="SI",(Datos!K17-Datos!U17)/Datos!U17,(Datos!K17+Datos!AE17-(Datos!U17+Datos!AM17))/(Datos!U17+Datos!AM17))," - ")</f>
        <v>-0.21237623762376237</v>
      </c>
      <c r="G17" s="359">
        <f>IF(ISNUMBER(
   IF(D_I="SI",(Datos!L17-Datos!V17)/Datos!V17,(Datos!L17+Datos!AF17-(Datos!V17+Datos!AN17))/(Datos!V17+Datos!AN17))
     ),IF(D_I="SI",(Datos!L17-Datos!V17)/Datos!V17,(Datos!L17+Datos!AF17-(Datos!V17+Datos!AN17))/(Datos!V17+Datos!AN17))," - ")</f>
        <v>3.9104024297646166E-2</v>
      </c>
      <c r="H17" s="235">
        <f>IF(ISNUMBER((Datos!M17-Datos!W17)/Datos!W17),(Datos!M17-Datos!W17)/Datos!W17," - ")</f>
        <v>-0.2614942528735632</v>
      </c>
      <c r="I17" s="360">
        <f>IF(ISNUMBER((Tasas!C17-Datos!BE17)/Datos!BE17),(Tasas!C17-Datos!BE17)/Datos!BE17," - ")</f>
        <v>0.3192898360032968</v>
      </c>
      <c r="J17" s="359">
        <f>IF(ISNUMBER((Tasas!D17-Datos!BF17)/Datos!BF17),(Tasas!D17-Datos!BF17)/Datos!BF17," - ")</f>
        <v>-6.2362282089627609E-2</v>
      </c>
      <c r="K17" s="361">
        <f>IF(ISNUMBER((Tasas!E17-Datos!BG17)/Datos!BG17),(Tasas!E17-Datos!BG17)/Datos!BG17," - ")</f>
        <v>0.14166796007468932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-5.3333333333333337E-2</v>
      </c>
      <c r="E18" s="358">
        <f>IF(ISNUMBER(
   IF(D_I="SI",(Datos!J18-Datos!T18)/Datos!T18,(Datos!J18+Datos!AD18-(Datos!T18+Datos!AL18))/(Datos!T18+Datos!AL18))
     ),IF(D_I="SI",(Datos!J18-Datos!T18)/Datos!T18,(Datos!J18+Datos!AD18-(Datos!T18+Datos!AL18))/(Datos!T18+Datos!AL18))," - ")</f>
        <v>-0.18623481781376519</v>
      </c>
      <c r="F18" s="358">
        <f>IF(ISNUMBER(
   IF(D_I="SI",(Datos!K18-Datos!U18)/Datos!U18,(Datos!K18+Datos!AE18-(Datos!U18+Datos!AM18))/(Datos!U18+Datos!AM18))
     ),IF(D_I="SI",(Datos!K18-Datos!U18)/Datos!U18,(Datos!K18+Datos!AE18-(Datos!U18+Datos!AM18))/(Datos!U18+Datos!AM18))," - ")</f>
        <v>-0.66535433070866146</v>
      </c>
      <c r="G18" s="359">
        <f>IF(ISNUMBER(
   IF(D_I="SI",(Datos!L18-Datos!V18)/Datos!V18,(Datos!L18+Datos!AF18-(Datos!V18+Datos!AN18))/(Datos!V18+Datos!AN18))
     ),IF(D_I="SI",(Datos!L18-Datos!V18)/Datos!V18,(Datos!L18+Datos!AF18-(Datos!V18+Datos!AN18))/(Datos!V18+Datos!AN18))," - ")</f>
        <v>0.50228310502283102</v>
      </c>
      <c r="H18" s="235">
        <f>IF(ISNUMBER((Datos!M18-Datos!W18)/Datos!W18),(Datos!M18-Datos!W18)/Datos!W18," - ")</f>
        <v>-1</v>
      </c>
      <c r="I18" s="360">
        <f>IF(ISNUMBER((Tasas!C18-Datos!BE18)/Datos!BE18),(Tasas!C18-Datos!BE18)/Datos!BE18," - ")</f>
        <v>3.4891753961858716</v>
      </c>
      <c r="J18" s="359">
        <f>IF(ISNUMBER((Tasas!D18-Datos!BF18)/Datos!BF18),(Tasas!D18-Datos!BF18)/Datos!BF18," - ")</f>
        <v>-1</v>
      </c>
      <c r="K18" s="361">
        <f>IF(ISNUMBER((Tasas!E18-Datos!BG18)/Datos!BG18),(Tasas!E18-Datos!BG18)/Datos!BG18," - ")</f>
        <v>1.6210368893320035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-0.13964110929853182</v>
      </c>
      <c r="E20" s="364">
        <f>IF(ISNUMBER(
   IF(D_I="SI",(Datos!J20-Datos!T20)/Datos!T20,(Datos!J20+Datos!AD20-(Datos!T20+Datos!AL20))/(Datos!T20+Datos!AL20))
     ),IF(D_I="SI",(Datos!J20-Datos!T20)/Datos!T20,(Datos!J20+Datos!AD20-(Datos!T20+Datos!AL20))/(Datos!T20+Datos!AL20))," - ")</f>
        <v>-4.8058252427184464E-2</v>
      </c>
      <c r="F20" s="364">
        <f>IF(ISNUMBER(
   IF(D_I="SI",(Datos!K20-Datos!U20)/Datos!U20,(Datos!K20+Datos!AE20-(Datos!U20+Datos!AM20))/(Datos!U20+Datos!AM20))
     ),IF(D_I="SI",(Datos!K20-Datos!U20)/Datos!U20,(Datos!K20+Datos!AE20-(Datos!U20+Datos!AM20))/(Datos!U20+Datos!AM20))," - ")</f>
        <v>-0.26297273526824977</v>
      </c>
      <c r="G20" s="365">
        <f>IF(ISNUMBER(
   IF(D_I="SI",(Datos!L20-Datos!V20)/Datos!V20,(Datos!L20+Datos!AF20-(Datos!V20+Datos!AN20))/(Datos!V20+Datos!AN20))
     ),IF(D_I="SI",(Datos!L20-Datos!V20)/Datos!V20,(Datos!L20+Datos!AF20-(Datos!V20+Datos!AN20))/(Datos!V20+Datos!AN20))," - ")</f>
        <v>7.4658254468980015E-2</v>
      </c>
      <c r="H20" s="366">
        <f>IF(ISNUMBER((Datos!M20-Datos!W20)/Datos!W20),(Datos!M20-Datos!W20)/Datos!W20," - ")</f>
        <v>-0.27401129943502822</v>
      </c>
      <c r="I20" s="367">
        <f>IF(ISNUMBER((Tasas!C20-Datos!BE20)/Datos!BE20),(Tasas!C20-Datos!BE20)/Datos!BE20," - ")</f>
        <v>0.45809837151698124</v>
      </c>
      <c r="J20" s="365">
        <f>IF(ISNUMBER((Tasas!D20-Datos!BF20)/Datos!BF20),(Tasas!D20-Datos!BF20)/Datos!BF20," - ")</f>
        <v>-1.4977144937502596E-2</v>
      </c>
      <c r="K20" s="368">
        <f>IF(ISNUMBER((Tasas!E20-Datos!BG20)/Datos!BG20),(Tasas!E20-Datos!BG20)/Datos!BG20," - ")</f>
        <v>0.2172829617556318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7.2616291307093239E-3</v>
      </c>
      <c r="E21" s="373">
        <f>IF(ISNUMBER(
   IF(J_V="SI",(Datos!J21-Datos!T21)/Datos!T21,(Datos!J21+Datos!Z21-(Datos!T21+Datos!AH21))/(Datos!T21+Datos!AH21))
     ),IF(J_V="SI",(Datos!J21-Datos!T21)/Datos!T21,(Datos!J21+Datos!Z21-(Datos!T21+Datos!AH21))/(Datos!T21+Datos!AH21))," - ")</f>
        <v>-0.29932735426008966</v>
      </c>
      <c r="F21" s="373">
        <f>IF(ISNUMBER(
   IF(J_V="SI",(Datos!K21-Datos!U21)/Datos!U21,(Datos!K21+Datos!AA21-(Datos!U21+Datos!AI21))/(Datos!U21+Datos!AI21))
     ),IF(J_V="SI",(Datos!K21-Datos!U21)/Datos!U21,(Datos!K21+Datos!AA21-(Datos!U21+Datos!AI21))/(Datos!U21+Datos!AI21))," - ")</f>
        <v>-0.16701853155055124</v>
      </c>
      <c r="G21" s="374">
        <f>IF(ISNUMBER(
   IF(J_V="SI",(Datos!L21-Datos!V21)/Datos!V21,(Datos!L21+Datos!AB21-(Datos!V21+Datos!AJ21))/(Datos!V21+Datos!AJ21))
     ),IF(J_V="SI",(Datos!L21-Datos!V21)/Datos!V21,(Datos!L21+Datos!AB21-(Datos!V21+Datos!AJ21))/(Datos!V21+Datos!AJ21))," - ")</f>
        <v>-3.0394819302276999E-2</v>
      </c>
      <c r="H21" s="375">
        <f>IF(ISNUMBER((Datos!M21-Datos!W21)/Datos!W21),(Datos!M21-Datos!W21)/Datos!W21," - ")</f>
        <v>-0.16216216216216217</v>
      </c>
      <c r="I21" s="372">
        <f>IF(ISNUMBER((Tasas!C21-Datos!BE21)/Datos!BE21),(Tasas!C21-Datos!BE21)/Datos!BE21," - ")</f>
        <v>0.16401770918456593</v>
      </c>
      <c r="J21" s="373">
        <f>IF(ISNUMBER((Tasas!D21-Datos!BF21)/Datos!BF21),(Tasas!D21-Datos!BF21)/Datos!BF21," - ")</f>
        <v>-0.475424549803104</v>
      </c>
      <c r="K21" s="374">
        <f>IF(ISNUMBER((Tasas!E21-Datos!BG21)/Datos!BG21),(Tasas!E21-Datos!BG21)/Datos!BG21," - ")</f>
        <v>9.1651310385823873E-2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0.16536189793482253</v>
      </c>
      <c r="E23" s="283">
        <f t="shared" si="1"/>
        <v>0.2219162366780883</v>
      </c>
      <c r="F23" s="283">
        <f t="shared" si="1"/>
        <v>0.3702710955875218</v>
      </c>
      <c r="G23" s="284">
        <f t="shared" si="1"/>
        <v>0.26161405933136939</v>
      </c>
      <c r="H23" s="290">
        <f t="shared" si="1"/>
        <v>0.4567789267482249</v>
      </c>
      <c r="I23" s="282">
        <f t="shared" si="1"/>
        <v>1.4956110915103336</v>
      </c>
      <c r="J23" s="283">
        <f t="shared" si="1"/>
        <v>0.42478334398046474</v>
      </c>
      <c r="K23" s="284">
        <f t="shared" si="1"/>
        <v>0.70189141054529547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XdKT3ri4xAcMYPJpai1af8R5Bt6XzYWIlZpVMzverrDUT1Eb1VXTVVfZ+01uK1aGinylrQIob+i/1zJeLIE2w==" saltValue="T2jp/4NDARFp/XKiUsY5b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